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TransNorthern\Aircraft\Metro III\A - N782C\Weight and Balance\"/>
    </mc:Choice>
  </mc:AlternateContent>
  <xr:revisionPtr revIDLastSave="0" documentId="8_{F0F97FD0-5B63-45E2-9BB1-E10285241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82C Equal Dist Load" sheetId="1" r:id="rId1"/>
    <sheet name="782C Loading" sheetId="2" r:id="rId2"/>
  </sheets>
  <definedNames>
    <definedName name="Loaded_Monent" localSheetId="0">'782C Equal Dist Load'!$Q$43</definedName>
    <definedName name="Loaded_Monent" localSheetId="1">'782C Loading'!$Q$43</definedName>
    <definedName name="Max_Ld_Wt." localSheetId="0">'782C Equal Dist Load'!$T$11</definedName>
    <definedName name="Max_Ld_Wt." localSheetId="1">'782C Loading'!$T$11</definedName>
    <definedName name="_xlnm.Print_Area" localSheetId="0">'782C Equal Dist Load'!$C$1:$M$23</definedName>
    <definedName name="_xlnm.Print_Area" localSheetId="1">'782C Loading'!$C$1:$M$23</definedName>
    <definedName name="Take_Off_C.G." localSheetId="0">'782C Equal Dist Load'!$I$18</definedName>
    <definedName name="Take_Off_C.G." localSheetId="1">'782C Loading'!$I$18</definedName>
    <definedName name="Take_Off_Wt." localSheetId="0">'782C Equal Dist Load'!$I$16</definedName>
    <definedName name="Take_Off_Wt." localSheetId="1">'782C Loading'!$I$16</definedName>
    <definedName name="ZFW" localSheetId="0">'782C Equal Dist Load'!$T$10</definedName>
    <definedName name="ZFW" localSheetId="1">'782C Loading'!$T$10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2" l="1"/>
  <c r="T9" i="1" l="1"/>
  <c r="G13" i="1" l="1"/>
  <c r="G12" i="1"/>
  <c r="G14" i="1"/>
  <c r="M99" i="2" l="1"/>
  <c r="M98" i="2"/>
  <c r="M97" i="2"/>
  <c r="M96" i="2"/>
  <c r="N95" i="2"/>
  <c r="M95" i="2"/>
  <c r="M94" i="2"/>
  <c r="N93" i="2"/>
  <c r="M93" i="2"/>
  <c r="M92" i="2"/>
  <c r="N91" i="2"/>
  <c r="M91" i="2"/>
  <c r="M90" i="2"/>
  <c r="N89" i="2"/>
  <c r="M89" i="2"/>
  <c r="M88" i="2"/>
  <c r="N87" i="2"/>
  <c r="M87" i="2"/>
  <c r="M86" i="2"/>
  <c r="N85" i="2"/>
  <c r="M85" i="2"/>
  <c r="M84" i="2"/>
  <c r="N83" i="2"/>
  <c r="M83" i="2"/>
  <c r="M82" i="2"/>
  <c r="N81" i="2"/>
  <c r="M81" i="2"/>
  <c r="M80" i="2"/>
  <c r="N79" i="2"/>
  <c r="M79" i="2"/>
  <c r="M78" i="2"/>
  <c r="N77" i="2"/>
  <c r="M77" i="2"/>
  <c r="M76" i="2"/>
  <c r="N75" i="2"/>
  <c r="M75" i="2"/>
  <c r="M74" i="2"/>
  <c r="N73" i="2"/>
  <c r="M73" i="2"/>
  <c r="M72" i="2"/>
  <c r="N71" i="2"/>
  <c r="M71" i="2"/>
  <c r="M70" i="2"/>
  <c r="N69" i="2"/>
  <c r="M69" i="2"/>
  <c r="M68" i="2"/>
  <c r="N67" i="2"/>
  <c r="M67" i="2"/>
  <c r="M66" i="2"/>
  <c r="N65" i="2"/>
  <c r="M65" i="2"/>
  <c r="M64" i="2"/>
  <c r="N63" i="2"/>
  <c r="M63" i="2"/>
  <c r="M62" i="2"/>
  <c r="N61" i="2"/>
  <c r="M61" i="2"/>
  <c r="M60" i="2"/>
  <c r="N59" i="2"/>
  <c r="M59" i="2"/>
  <c r="M58" i="2"/>
  <c r="M57" i="2"/>
  <c r="M56" i="2"/>
  <c r="M55" i="2"/>
  <c r="P42" i="2"/>
  <c r="Q42" i="2" s="1"/>
  <c r="O42" i="2"/>
  <c r="Q41" i="2"/>
  <c r="O41" i="2"/>
  <c r="P40" i="2"/>
  <c r="Q40" i="2" s="1"/>
  <c r="Q37" i="2"/>
  <c r="O37" i="2"/>
  <c r="Q36" i="2"/>
  <c r="Q35" i="2"/>
  <c r="O35" i="2"/>
  <c r="Q34" i="2"/>
  <c r="O34" i="2"/>
  <c r="D34" i="2"/>
  <c r="P28" i="2" s="1"/>
  <c r="Q33" i="2"/>
  <c r="O33" i="2"/>
  <c r="Q32" i="2"/>
  <c r="O32" i="2"/>
  <c r="Q31" i="2"/>
  <c r="O31" i="2"/>
  <c r="Q30" i="2"/>
  <c r="O30" i="2"/>
  <c r="I21" i="2"/>
  <c r="I20" i="2" s="1"/>
  <c r="K20" i="2" s="1"/>
  <c r="G17" i="2"/>
  <c r="I14" i="2"/>
  <c r="Q39" i="2"/>
  <c r="Q38" i="2"/>
  <c r="O36" i="2"/>
  <c r="I10" i="2"/>
  <c r="I9" i="2"/>
  <c r="D33" i="2" s="1"/>
  <c r="Q29" i="2"/>
  <c r="G17" i="1"/>
  <c r="I9" i="1"/>
  <c r="O28" i="1" s="1"/>
  <c r="I10" i="1"/>
  <c r="G11" i="1"/>
  <c r="O36" i="1" s="1"/>
  <c r="O37" i="1"/>
  <c r="Q38" i="1"/>
  <c r="Q39" i="1"/>
  <c r="O29" i="1"/>
  <c r="O30" i="1"/>
  <c r="O31" i="1"/>
  <c r="O32" i="1"/>
  <c r="O33" i="1"/>
  <c r="O34" i="1"/>
  <c r="O35" i="1"/>
  <c r="O41" i="1"/>
  <c r="O42" i="1"/>
  <c r="I14" i="1"/>
  <c r="D34" i="1"/>
  <c r="P28" i="1" s="1"/>
  <c r="Q29" i="1"/>
  <c r="Q30" i="1"/>
  <c r="Q31" i="1"/>
  <c r="Q32" i="1"/>
  <c r="Q33" i="1"/>
  <c r="Q34" i="1"/>
  <c r="Q35" i="1"/>
  <c r="P40" i="1"/>
  <c r="Q40" i="1"/>
  <c r="Q41" i="1"/>
  <c r="I21" i="1"/>
  <c r="I20" i="1" s="1"/>
  <c r="K20" i="1" s="1"/>
  <c r="M55" i="1"/>
  <c r="M56" i="1"/>
  <c r="M57" i="1"/>
  <c r="M58" i="1"/>
  <c r="M59" i="1"/>
  <c r="N59" i="1"/>
  <c r="M60" i="1"/>
  <c r="M61" i="1"/>
  <c r="N61" i="1"/>
  <c r="M62" i="1"/>
  <c r="M63" i="1"/>
  <c r="N63" i="1"/>
  <c r="M64" i="1"/>
  <c r="M65" i="1"/>
  <c r="N65" i="1"/>
  <c r="M66" i="1"/>
  <c r="M67" i="1"/>
  <c r="N67" i="1"/>
  <c r="M68" i="1"/>
  <c r="M69" i="1"/>
  <c r="N69" i="1"/>
  <c r="M70" i="1"/>
  <c r="M71" i="1"/>
  <c r="N71" i="1"/>
  <c r="M72" i="1"/>
  <c r="M73" i="1"/>
  <c r="N73" i="1"/>
  <c r="M74" i="1"/>
  <c r="M75" i="1"/>
  <c r="N75" i="1"/>
  <c r="P42" i="1"/>
  <c r="Q42" i="1" s="1"/>
  <c r="M76" i="1"/>
  <c r="M77" i="1"/>
  <c r="N77" i="1"/>
  <c r="M78" i="1"/>
  <c r="M79" i="1"/>
  <c r="N79" i="1"/>
  <c r="M80" i="1"/>
  <c r="M81" i="1"/>
  <c r="N81" i="1"/>
  <c r="M82" i="1"/>
  <c r="M83" i="1"/>
  <c r="N83" i="1"/>
  <c r="M84" i="1"/>
  <c r="M85" i="1"/>
  <c r="N85" i="1"/>
  <c r="M86" i="1"/>
  <c r="M87" i="1"/>
  <c r="N87" i="1"/>
  <c r="M88" i="1"/>
  <c r="M89" i="1"/>
  <c r="N89" i="1"/>
  <c r="M90" i="1"/>
  <c r="M91" i="1"/>
  <c r="N91" i="1"/>
  <c r="M92" i="1"/>
  <c r="M93" i="1"/>
  <c r="N93" i="1"/>
  <c r="M94" i="1"/>
  <c r="M95" i="1"/>
  <c r="N95" i="1"/>
  <c r="M96" i="1"/>
  <c r="M97" i="1"/>
  <c r="M98" i="1"/>
  <c r="M99" i="1"/>
  <c r="O39" i="1" l="1"/>
  <c r="K21" i="2"/>
  <c r="K21" i="1"/>
  <c r="Q28" i="2"/>
  <c r="Q43" i="2" s="1"/>
  <c r="Q36" i="1"/>
  <c r="D33" i="1"/>
  <c r="Q28" i="1" s="1"/>
  <c r="I11" i="1"/>
  <c r="I12" i="1"/>
  <c r="Q37" i="1"/>
  <c r="O38" i="1"/>
  <c r="O39" i="2"/>
  <c r="O28" i="2"/>
  <c r="I11" i="2"/>
  <c r="O29" i="2"/>
  <c r="O38" i="2"/>
  <c r="I12" i="2"/>
  <c r="O43" i="1" l="1"/>
  <c r="I16" i="1" s="1"/>
  <c r="Q43" i="1"/>
  <c r="I13" i="1"/>
  <c r="K13" i="1" s="1"/>
  <c r="I13" i="2"/>
  <c r="K13" i="2" s="1"/>
  <c r="O43" i="2"/>
  <c r="I16" i="2" s="1"/>
  <c r="C90" i="1" l="1"/>
  <c r="K12" i="1"/>
  <c r="M52" i="1"/>
  <c r="K16" i="1" s="1"/>
  <c r="H29" i="1"/>
  <c r="I19" i="1" s="1"/>
  <c r="C88" i="1"/>
  <c r="C87" i="1" s="1"/>
  <c r="C86" i="1" s="1"/>
  <c r="C85" i="1" s="1"/>
  <c r="C84" i="1" s="1"/>
  <c r="C83" i="1" s="1"/>
  <c r="C82" i="1" s="1"/>
  <c r="C81" i="1" s="1"/>
  <c r="C80" i="1" s="1"/>
  <c r="C79" i="1" s="1"/>
  <c r="C78" i="1" s="1"/>
  <c r="C77" i="1" s="1"/>
  <c r="C76" i="1" s="1"/>
  <c r="C75" i="1" s="1"/>
  <c r="C74" i="1" s="1"/>
  <c r="C73" i="1" s="1"/>
  <c r="C72" i="1" s="1"/>
  <c r="C71" i="1" s="1"/>
  <c r="C70" i="1" s="1"/>
  <c r="C69" i="1" s="1"/>
  <c r="C68" i="1" s="1"/>
  <c r="C67" i="1" s="1"/>
  <c r="C66" i="1" s="1"/>
  <c r="C65" i="1" s="1"/>
  <c r="C64" i="1" s="1"/>
  <c r="C63" i="1" s="1"/>
  <c r="C62" i="1" s="1"/>
  <c r="C61" i="1" s="1"/>
  <c r="C60" i="1" s="1"/>
  <c r="C59" i="1" s="1"/>
  <c r="C58" i="1" s="1"/>
  <c r="C57" i="1" s="1"/>
  <c r="C56" i="1" s="1"/>
  <c r="C55" i="1" s="1"/>
  <c r="C54" i="1" s="1"/>
  <c r="C53" i="1" s="1"/>
  <c r="C52" i="1" s="1"/>
  <c r="C51" i="1" s="1"/>
  <c r="C50" i="1" s="1"/>
  <c r="C49" i="1" s="1"/>
  <c r="C48" i="1" s="1"/>
  <c r="C47" i="1" s="1"/>
  <c r="C46" i="1" s="1"/>
  <c r="C45" i="1" s="1"/>
  <c r="C44" i="1" s="1"/>
  <c r="C43" i="1" s="1"/>
  <c r="C42" i="1" s="1"/>
  <c r="C41" i="1" s="1"/>
  <c r="C40" i="1" s="1"/>
  <c r="C39" i="1" s="1"/>
  <c r="C38" i="1" s="1"/>
  <c r="C37" i="1" s="1"/>
  <c r="C36" i="1" s="1"/>
  <c r="C35" i="1" s="1"/>
  <c r="I17" i="1" s="1"/>
  <c r="C89" i="1"/>
  <c r="P43" i="1"/>
  <c r="I18" i="1" s="1"/>
  <c r="C89" i="2"/>
  <c r="C82" i="2"/>
  <c r="C87" i="2"/>
  <c r="C88" i="2"/>
  <c r="C85" i="2"/>
  <c r="C81" i="2"/>
  <c r="C90" i="2"/>
  <c r="H29" i="2"/>
  <c r="I19" i="2" s="1"/>
  <c r="C84" i="2"/>
  <c r="C80" i="2"/>
  <c r="C79" i="2" s="1"/>
  <c r="C78" i="2" s="1"/>
  <c r="C77" i="2" s="1"/>
  <c r="C76" i="2" s="1"/>
  <c r="C75" i="2" s="1"/>
  <c r="C74" i="2" s="1"/>
  <c r="C73" i="2" s="1"/>
  <c r="C72" i="2" s="1"/>
  <c r="C71" i="2" s="1"/>
  <c r="C70" i="2" s="1"/>
  <c r="C69" i="2" s="1"/>
  <c r="C68" i="2" s="1"/>
  <c r="C67" i="2" s="1"/>
  <c r="C66" i="2" s="1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C40" i="2" s="1"/>
  <c r="C39" i="2" s="1"/>
  <c r="C38" i="2" s="1"/>
  <c r="C37" i="2" s="1"/>
  <c r="C36" i="2" s="1"/>
  <c r="C35" i="2" s="1"/>
  <c r="I17" i="2" s="1"/>
  <c r="K12" i="2"/>
  <c r="C86" i="2"/>
  <c r="C83" i="2"/>
  <c r="M52" i="2"/>
  <c r="K16" i="2" s="1"/>
  <c r="P43" i="2"/>
  <c r="I18" i="2" s="1"/>
  <c r="D54" i="1" l="1"/>
  <c r="K18" i="1" s="1"/>
  <c r="D54" i="2"/>
  <c r="K18" i="2" s="1"/>
</calcChain>
</file>

<file path=xl/sharedStrings.xml><?xml version="1.0" encoding="utf-8"?>
<sst xmlns="http://schemas.openxmlformats.org/spreadsheetml/2006/main" count="208" uniqueCount="105">
  <si>
    <t>Crew</t>
  </si>
  <si>
    <t>Proposed Flt Time</t>
  </si>
  <si>
    <t>(Min.)</t>
  </si>
  <si>
    <t>Metro III</t>
  </si>
  <si>
    <t>Courier Seat</t>
  </si>
  <si>
    <t>No. of T.O.s</t>
  </si>
  <si>
    <t>Date:</t>
  </si>
  <si>
    <t>Row 1</t>
  </si>
  <si>
    <t>A/C Type</t>
  </si>
  <si>
    <t>Gross Wt</t>
  </si>
  <si>
    <t>Survival Gear</t>
  </si>
  <si>
    <t>Row 2</t>
  </si>
  <si>
    <t>A/C Number</t>
  </si>
  <si>
    <t>"Nose" or "Aft"</t>
  </si>
  <si>
    <t>Row 3</t>
  </si>
  <si>
    <t>Seat Config.</t>
  </si>
  <si>
    <t>(See Metal Box for Seat Config)</t>
  </si>
  <si>
    <t>Nose</t>
  </si>
  <si>
    <t>Row 4</t>
  </si>
  <si>
    <t>A/C Empty Wt.</t>
  </si>
  <si>
    <t>540# Nose</t>
  </si>
  <si>
    <t>Crew Weight</t>
  </si>
  <si>
    <t>ZFW</t>
  </si>
  <si>
    <t>500# 14% - A</t>
  </si>
  <si>
    <t>B.O.W.</t>
  </si>
  <si>
    <t>Load Left</t>
  </si>
  <si>
    <t>Fwd Rollers 45 lb @ F.S. 240</t>
  </si>
  <si>
    <t xml:space="preserve">Landing Weight </t>
  </si>
  <si>
    <t>Even Distb Ld</t>
  </si>
  <si>
    <t>1600# 28% - B</t>
  </si>
  <si>
    <t>A/C Load</t>
  </si>
  <si>
    <t>Rear Rollers 48 lb @ F.S. 360</t>
  </si>
  <si>
    <t>Seat weight ea. =</t>
  </si>
  <si>
    <t>1600# 36% -  C</t>
  </si>
  <si>
    <t>Zero Fuel Wt.</t>
  </si>
  <si>
    <t>680# 22%- Aft</t>
  </si>
  <si>
    <t>Ramp Fuel</t>
  </si>
  <si>
    <t>AWI Fluid</t>
  </si>
  <si>
    <t>Max Gross T.O.</t>
  </si>
  <si>
    <t>Take Off Wt.</t>
  </si>
  <si>
    <t>Fuel gal.</t>
  </si>
  <si>
    <t>C.G. Range</t>
  </si>
  <si>
    <t xml:space="preserve"> max fuel = 648 gal = 4,342 lbs</t>
  </si>
  <si>
    <t>Take Off C.G.</t>
  </si>
  <si>
    <t>Minimum Flt Time before Landing -&gt;</t>
  </si>
  <si>
    <t>Minutes</t>
  </si>
  <si>
    <t>Extra IFR Fuel -&gt;</t>
  </si>
  <si>
    <t>Pounds</t>
  </si>
  <si>
    <t>Cruise Fuel Burn -&gt;</t>
  </si>
  <si>
    <t>Lbs/nim</t>
  </si>
  <si>
    <t>Fuel Burn this trip</t>
  </si>
  <si>
    <t>T.O. Climb &amp; Descent fuel burn -&gt;</t>
  </si>
  <si>
    <t>Item</t>
  </si>
  <si>
    <t>Weight</t>
  </si>
  <si>
    <t>Arm</t>
  </si>
  <si>
    <t>Mom</t>
  </si>
  <si>
    <t>Landing WT Calc Cell</t>
  </si>
  <si>
    <t>Aircraft</t>
  </si>
  <si>
    <t>Current EW</t>
  </si>
  <si>
    <t xml:space="preserve">C.G. Range </t>
  </si>
  <si>
    <t>Current ECG</t>
  </si>
  <si>
    <t>Wt</t>
  </si>
  <si>
    <t>Fwd Limit</t>
  </si>
  <si>
    <t>Aft Lmt</t>
  </si>
  <si>
    <t>CAWI</t>
  </si>
  <si>
    <t>Fuel</t>
  </si>
  <si>
    <t>Total --&gt;</t>
  </si>
  <si>
    <t>&lt;--TOTAL Moment</t>
  </si>
  <si>
    <t>Formula --&gt;</t>
  </si>
  <si>
    <t xml:space="preserve">FUEL ARMS </t>
  </si>
  <si>
    <t>US Gallons @6.7#/Gal</t>
  </si>
  <si>
    <t>@ 6.8#/Gal</t>
  </si>
  <si>
    <t>@ 7.1#/Gal</t>
  </si>
  <si>
    <r>
      <t xml:space="preserve">NOTE: </t>
    </r>
    <r>
      <rPr>
        <sz val="10"/>
        <color indexed="8"/>
        <rFont val="Comic Sans MS"/>
        <family val="4"/>
      </rPr>
      <t xml:space="preserve"> Only change GREEN Cells</t>
    </r>
  </si>
  <si>
    <t>Fuel Wt. lbs.</t>
  </si>
  <si>
    <t>Cells in BLUE are calculated</t>
  </si>
  <si>
    <t>TransNorthern   Metro III   N782C</t>
  </si>
  <si>
    <t>A  - Max 500# &lt;16%&gt;</t>
  </si>
  <si>
    <t>B  - Max 1,600# &lt;25%&gt;</t>
  </si>
  <si>
    <t>C  - Max 1,600# &lt;27%&gt;</t>
  </si>
  <si>
    <t>Aft Bag Max - 600# &lt;30%&gt;</t>
  </si>
  <si>
    <t>Nose - Max 600#</t>
  </si>
  <si>
    <t>N782C</t>
  </si>
  <si>
    <t>Weight Date</t>
  </si>
  <si>
    <t>Ammended Date</t>
  </si>
  <si>
    <t>Pilot/Copilot Seat BH @ 167", Rollers</t>
  </si>
  <si>
    <t>Corrier Seat, BH @ 167", Rollers</t>
  </si>
  <si>
    <t>BH @ 167" and NO Rollers</t>
  </si>
  <si>
    <t>BH @ 347" and NO Rollers</t>
  </si>
  <si>
    <t>Change this and &amp; add Nose wt if app</t>
  </si>
  <si>
    <t>Area A Max 500#</t>
  </si>
  <si>
    <t>Area B Max 1600#</t>
  </si>
  <si>
    <t>Area C Max 1600#</t>
  </si>
  <si>
    <t>Aft   Max 600#</t>
  </si>
  <si>
    <t>Nose Max 540#</t>
  </si>
  <si>
    <t>BH @ 167" &amp;  NO Rollers or Nets</t>
  </si>
  <si>
    <t>BH @ 347" &amp;  NO Rollers or Nets</t>
  </si>
  <si>
    <t>Courier Seat BH @ 167" &amp; Rollers/Nets</t>
  </si>
  <si>
    <t xml:space="preserve"> </t>
  </si>
  <si>
    <t>Empty WT Config #2</t>
  </si>
  <si>
    <t>Empty CG Config #2</t>
  </si>
  <si>
    <t>Empty MOM Config #2</t>
  </si>
  <si>
    <t>---</t>
  </si>
  <si>
    <t>Seat Configuration Chart    Weigh Date- Nov 2023</t>
  </si>
  <si>
    <t>N782C  Seat Configuration Chart    Weigh Date- 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</si>
</sst>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.0000"/>
    <numFmt numFmtId="167" formatCode="#,##0.000"/>
    <numFmt numFmtId="168" formatCode="mmm\ yyyy"/>
  </numFmts>
  <fonts count="37" x14ac:knownFonts="1">
    <font>
      <sz val="10"/>
      <name val="Tahoma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Comic Sans MS"/>
      <family val="4"/>
    </font>
    <font>
      <b/>
      <sz val="16"/>
      <color indexed="8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14"/>
      <color indexed="8"/>
      <name val="Comic Sans MS"/>
      <family val="4"/>
    </font>
    <font>
      <sz val="14"/>
      <color indexed="8"/>
      <name val="MS Sans Serif"/>
      <family val="2"/>
    </font>
    <font>
      <b/>
      <sz val="10"/>
      <color indexed="8"/>
      <name val="Comic Sans MS"/>
      <family val="4"/>
    </font>
    <font>
      <i/>
      <sz val="10"/>
      <color indexed="8"/>
      <name val="Comic Sans MS"/>
      <family val="4"/>
    </font>
    <font>
      <b/>
      <sz val="8"/>
      <color indexed="8"/>
      <name val="Comic Sans MS"/>
      <family val="4"/>
    </font>
    <font>
      <i/>
      <sz val="9"/>
      <color indexed="8"/>
      <name val="Comic Sans MS"/>
      <family val="4"/>
    </font>
    <font>
      <b/>
      <sz val="6"/>
      <color indexed="8"/>
      <name val="Comic Sans MS"/>
      <family val="4"/>
    </font>
    <font>
      <b/>
      <i/>
      <sz val="12"/>
      <color indexed="8"/>
      <name val="Comic Sans MS"/>
      <family val="4"/>
    </font>
    <font>
      <b/>
      <sz val="8"/>
      <color indexed="8"/>
      <name val="Comic Sans MS"/>
      <family val="4"/>
    </font>
    <font>
      <b/>
      <sz val="10"/>
      <color indexed="8"/>
      <name val="Comic Sans MS"/>
      <family val="4"/>
    </font>
    <font>
      <b/>
      <sz val="9"/>
      <color indexed="8"/>
      <name val="Comic Sans MS"/>
      <family val="4"/>
    </font>
    <font>
      <i/>
      <sz val="10"/>
      <color indexed="8"/>
      <name val="Comic Sans MS"/>
      <family val="4"/>
    </font>
    <font>
      <sz val="8"/>
      <color indexed="8"/>
      <name val="Comic Sans MS"/>
      <family val="4"/>
    </font>
    <font>
      <sz val="9"/>
      <color indexed="8"/>
      <name val="Comic Sans MS"/>
      <family val="4"/>
    </font>
    <font>
      <sz val="10"/>
      <color indexed="8"/>
      <name val="Comic Sans MS"/>
      <family val="4"/>
    </font>
    <font>
      <sz val="10"/>
      <color indexed="8"/>
      <name val="MS Sans Serif"/>
      <family val="2"/>
    </font>
    <font>
      <b/>
      <i/>
      <sz val="8.5"/>
      <color indexed="8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MS Sans Serif"/>
      <family val="2"/>
    </font>
    <font>
      <b/>
      <sz val="8.5"/>
      <color indexed="8"/>
      <name val="Comic Sans MS"/>
      <family val="4"/>
    </font>
    <font>
      <sz val="8.5"/>
      <color indexed="8"/>
      <name val="MS Sans Serif"/>
      <family val="2"/>
    </font>
    <font>
      <b/>
      <sz val="12"/>
      <color indexed="8"/>
      <name val="Comic Sans MS"/>
      <family val="4"/>
    </font>
    <font>
      <i/>
      <sz val="10"/>
      <color indexed="8"/>
      <name val="MS Sans Serif"/>
      <family val="2"/>
    </font>
    <font>
      <b/>
      <sz val="9"/>
      <color indexed="8"/>
      <name val="Comic Sans MS"/>
      <family val="4"/>
    </font>
    <font>
      <b/>
      <sz val="10"/>
      <color indexed="12"/>
      <name val="Comic Sans MS"/>
      <family val="4"/>
    </font>
    <font>
      <b/>
      <sz val="9"/>
      <color indexed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sz val="10"/>
      <name val="Comic Sans MS"/>
      <family val="4"/>
    </font>
    <font>
      <sz val="9"/>
      <name val="Comic Sans MS"/>
      <family val="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4" fillId="0" borderId="0"/>
  </cellStyleXfs>
  <cellXfs count="19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right" vertic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4" fontId="3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3" fontId="3" fillId="0" borderId="4" xfId="0" applyNumberFormat="1" applyFont="1" applyBorder="1" applyAlignment="1">
      <alignment horizontal="left"/>
    </xf>
    <xf numFmtId="0" fontId="1" fillId="0" borderId="4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6" fillId="0" borderId="2" xfId="0" applyFont="1" applyBorder="1" applyAlignment="1">
      <alignment horizontal="right"/>
    </xf>
    <xf numFmtId="0" fontId="16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9" fillId="0" borderId="7" xfId="0" applyFont="1" applyBorder="1" applyAlignment="1">
      <alignment horizontal="right"/>
    </xf>
    <xf numFmtId="0" fontId="1" fillId="4" borderId="8" xfId="0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6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right"/>
    </xf>
    <xf numFmtId="0" fontId="9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6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2" fontId="1" fillId="5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7" fillId="0" borderId="3" xfId="0" applyFont="1" applyBorder="1" applyAlignment="1">
      <alignment horizontal="right"/>
    </xf>
    <xf numFmtId="0" fontId="18" fillId="2" borderId="2" xfId="0" applyFont="1" applyFill="1" applyBorder="1" applyAlignment="1" applyProtection="1">
      <alignment horizontal="center"/>
      <protection locked="0"/>
    </xf>
    <xf numFmtId="0" fontId="15" fillId="3" borderId="8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3" fontId="15" fillId="0" borderId="9" xfId="0" applyNumberFormat="1" applyFont="1" applyBorder="1" applyAlignment="1">
      <alignment horizontal="center"/>
    </xf>
    <xf numFmtId="12" fontId="19" fillId="0" borderId="1" xfId="0" applyNumberFormat="1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15" fillId="2" borderId="2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 wrapText="1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6" xfId="0" applyFont="1" applyBorder="1"/>
    <xf numFmtId="0" fontId="27" fillId="0" borderId="2" xfId="0" applyFont="1" applyBorder="1" applyAlignment="1">
      <alignment horizontal="center"/>
    </xf>
    <xf numFmtId="165" fontId="22" fillId="0" borderId="2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2" fontId="1" fillId="0" borderId="0" xfId="0" applyNumberFormat="1" applyFont="1"/>
    <xf numFmtId="3" fontId="3" fillId="0" borderId="2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66" fontId="3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3" fontId="21" fillId="6" borderId="2" xfId="0" applyNumberFormat="1" applyFont="1" applyFill="1" applyBorder="1" applyAlignment="1">
      <alignment horizontal="center"/>
    </xf>
    <xf numFmtId="2" fontId="21" fillId="6" borderId="2" xfId="0" applyNumberFormat="1" applyFont="1" applyFill="1" applyBorder="1" applyAlignment="1">
      <alignment horizontal="center"/>
    </xf>
    <xf numFmtId="2" fontId="20" fillId="6" borderId="2" xfId="0" applyNumberFormat="1" applyFont="1" applyFill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0" fontId="24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9" fillId="0" borderId="0" xfId="0" applyFont="1"/>
    <xf numFmtId="3" fontId="21" fillId="7" borderId="2" xfId="0" applyNumberFormat="1" applyFont="1" applyFill="1" applyBorder="1" applyAlignment="1">
      <alignment horizontal="center"/>
    </xf>
    <xf numFmtId="2" fontId="21" fillId="7" borderId="2" xfId="0" applyNumberFormat="1" applyFont="1" applyFill="1" applyBorder="1" applyAlignment="1">
      <alignment horizontal="center"/>
    </xf>
    <xf numFmtId="2" fontId="20" fillId="7" borderId="2" xfId="0" applyNumberFormat="1" applyFont="1" applyFill="1" applyBorder="1" applyAlignment="1">
      <alignment horizontal="center"/>
    </xf>
    <xf numFmtId="0" fontId="16" fillId="0" borderId="6" xfId="0" applyFont="1" applyBorder="1" applyAlignment="1">
      <alignment horizontal="left"/>
    </xf>
    <xf numFmtId="3" fontId="3" fillId="4" borderId="3" xfId="0" applyNumberFormat="1" applyFont="1" applyFill="1" applyBorder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3" fontId="30" fillId="3" borderId="5" xfId="0" applyNumberFormat="1" applyFont="1" applyFill="1" applyBorder="1" applyAlignment="1">
      <alignment horizontal="center"/>
    </xf>
    <xf numFmtId="2" fontId="30" fillId="2" borderId="2" xfId="0" applyNumberFormat="1" applyFont="1" applyFill="1" applyBorder="1" applyAlignment="1" applyProtection="1">
      <alignment horizontal="center"/>
      <protection locked="0"/>
    </xf>
    <xf numFmtId="2" fontId="3" fillId="5" borderId="3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3" fontId="31" fillId="0" borderId="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/>
    <xf numFmtId="165" fontId="19" fillId="0" borderId="11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/>
    </xf>
    <xf numFmtId="0" fontId="19" fillId="0" borderId="2" xfId="0" quotePrefix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165" fontId="19" fillId="0" borderId="11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" fontId="19" fillId="0" borderId="1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/>
    </xf>
    <xf numFmtId="4" fontId="19" fillId="0" borderId="11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 vertical="center"/>
    </xf>
    <xf numFmtId="0" fontId="1" fillId="0" borderId="0" xfId="0" applyFont="1"/>
    <xf numFmtId="0" fontId="16" fillId="0" borderId="0" xfId="0" applyFont="1" applyAlignment="1">
      <alignment horizontal="right"/>
    </xf>
    <xf numFmtId="3" fontId="24" fillId="0" borderId="2" xfId="0" applyNumberFormat="1" applyFont="1" applyBorder="1"/>
    <xf numFmtId="0" fontId="9" fillId="0" borderId="2" xfId="0" applyFont="1" applyBorder="1" applyAlignment="1">
      <alignment horizontal="right" wrapText="1"/>
    </xf>
    <xf numFmtId="0" fontId="15" fillId="0" borderId="2" xfId="0" applyFont="1" applyBorder="1" applyAlignment="1">
      <alignment horizontal="right"/>
    </xf>
    <xf numFmtId="4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/>
    <xf numFmtId="2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 applyAlignment="1">
      <alignment horizontal="right"/>
    </xf>
    <xf numFmtId="165" fontId="10" fillId="2" borderId="2" xfId="0" applyNumberFormat="1" applyFont="1" applyFill="1" applyBorder="1" applyAlignment="1" applyProtection="1">
      <alignment horizontal="center"/>
      <protection locked="0"/>
    </xf>
    <xf numFmtId="165" fontId="22" fillId="2" borderId="2" xfId="0" applyNumberFormat="1" applyFont="1" applyFill="1" applyBorder="1" applyAlignment="1">
      <alignment horizontal="right"/>
    </xf>
    <xf numFmtId="165" fontId="32" fillId="0" borderId="2" xfId="0" applyNumberFormat="1" applyFont="1" applyBorder="1"/>
    <xf numFmtId="167" fontId="32" fillId="0" borderId="2" xfId="0" applyNumberFormat="1" applyFont="1" applyBorder="1" applyAlignment="1">
      <alignment horizontal="center"/>
    </xf>
    <xf numFmtId="3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/>
    </xf>
    <xf numFmtId="3" fontId="9" fillId="2" borderId="13" xfId="0" applyNumberFormat="1" applyFont="1" applyFill="1" applyBorder="1" applyAlignment="1">
      <alignment horizontal="center"/>
    </xf>
    <xf numFmtId="3" fontId="10" fillId="3" borderId="2" xfId="0" applyNumberFormat="1" applyFont="1" applyFill="1" applyBorder="1" applyAlignment="1" applyProtection="1">
      <alignment horizontal="center"/>
      <protection locked="0"/>
    </xf>
    <xf numFmtId="3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20" fillId="0" borderId="11" xfId="0" applyFont="1" applyBorder="1"/>
    <xf numFmtId="0" fontId="17" fillId="0" borderId="9" xfId="0" applyFont="1" applyBorder="1" applyAlignment="1">
      <alignment horizontal="left"/>
    </xf>
    <xf numFmtId="0" fontId="17" fillId="0" borderId="21" xfId="0" applyFont="1" applyBorder="1"/>
    <xf numFmtId="0" fontId="9" fillId="0" borderId="22" xfId="0" applyFont="1" applyBorder="1" applyAlignment="1">
      <alignment horizontal="center"/>
    </xf>
    <xf numFmtId="0" fontId="20" fillId="0" borderId="3" xfId="0" applyFont="1" applyBorder="1"/>
    <xf numFmtId="0" fontId="9" fillId="0" borderId="8" xfId="0" applyFont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1" fillId="0" borderId="4" xfId="0" applyFont="1" applyBorder="1"/>
    <xf numFmtId="0" fontId="20" fillId="0" borderId="1" xfId="0" applyFont="1" applyBorder="1"/>
    <xf numFmtId="0" fontId="9" fillId="0" borderId="1" xfId="0" applyFont="1" applyBorder="1" applyAlignment="1">
      <alignment horizontal="left"/>
    </xf>
    <xf numFmtId="0" fontId="1" fillId="0" borderId="10" xfId="0" applyFont="1" applyBorder="1"/>
    <xf numFmtId="0" fontId="3" fillId="0" borderId="24" xfId="0" applyFont="1" applyBorder="1" applyAlignment="1">
      <alignment horizontal="center"/>
    </xf>
    <xf numFmtId="168" fontId="9" fillId="8" borderId="24" xfId="0" applyNumberFormat="1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center"/>
      <protection locked="0"/>
    </xf>
    <xf numFmtId="3" fontId="9" fillId="0" borderId="0" xfId="0" applyNumberFormat="1" applyFont="1" applyAlignment="1">
      <alignment horizontal="center"/>
    </xf>
    <xf numFmtId="0" fontId="10" fillId="10" borderId="2" xfId="0" applyFont="1" applyFill="1" applyBorder="1" applyAlignment="1" applyProtection="1">
      <alignment horizontal="center"/>
      <protection locked="0"/>
    </xf>
    <xf numFmtId="3" fontId="10" fillId="10" borderId="2" xfId="0" applyNumberFormat="1" applyFont="1" applyFill="1" applyBorder="1" applyAlignment="1" applyProtection="1">
      <alignment horizontal="center"/>
      <protection locked="0"/>
    </xf>
    <xf numFmtId="1" fontId="10" fillId="10" borderId="2" xfId="0" applyNumberFormat="1" applyFont="1" applyFill="1" applyBorder="1" applyAlignment="1" applyProtection="1">
      <alignment horizontal="center"/>
      <protection locked="0"/>
    </xf>
    <xf numFmtId="0" fontId="18" fillId="10" borderId="2" xfId="0" applyFont="1" applyFill="1" applyBorder="1" applyAlignment="1" applyProtection="1">
      <alignment horizontal="center"/>
      <protection locked="0"/>
    </xf>
    <xf numFmtId="165" fontId="10" fillId="10" borderId="2" xfId="0" applyNumberFormat="1" applyFont="1" applyFill="1" applyBorder="1" applyAlignment="1" applyProtection="1">
      <alignment horizontal="center"/>
      <protection locked="0"/>
    </xf>
    <xf numFmtId="3" fontId="10" fillId="3" borderId="2" xfId="0" applyNumberFormat="1" applyFont="1" applyFill="1" applyBorder="1" applyAlignment="1">
      <alignment horizontal="center"/>
    </xf>
    <xf numFmtId="1" fontId="10" fillId="3" borderId="2" xfId="0" applyNumberFormat="1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35" fillId="0" borderId="28" xfId="1" applyFont="1" applyBorder="1" applyAlignment="1">
      <alignment horizontal="center"/>
    </xf>
    <xf numFmtId="3" fontId="35" fillId="0" borderId="29" xfId="1" applyNumberFormat="1" applyFont="1" applyBorder="1" applyAlignment="1">
      <alignment horizontal="center"/>
    </xf>
    <xf numFmtId="2" fontId="35" fillId="0" borderId="29" xfId="1" applyNumberFormat="1" applyFont="1" applyBorder="1" applyAlignment="1">
      <alignment horizontal="center"/>
    </xf>
    <xf numFmtId="0" fontId="35" fillId="0" borderId="22" xfId="1" applyFont="1" applyBorder="1" applyAlignment="1">
      <alignment horizontal="center"/>
    </xf>
    <xf numFmtId="3" fontId="35" fillId="0" borderId="11" xfId="1" applyNumberFormat="1" applyFont="1" applyBorder="1" applyAlignment="1">
      <alignment horizontal="center"/>
    </xf>
    <xf numFmtId="2" fontId="35" fillId="0" borderId="11" xfId="1" applyNumberFormat="1" applyFont="1" applyBorder="1" applyAlignment="1">
      <alignment horizontal="center"/>
    </xf>
    <xf numFmtId="3" fontId="35" fillId="0" borderId="2" xfId="1" applyNumberFormat="1" applyFont="1" applyBorder="1" applyAlignment="1">
      <alignment horizontal="center"/>
    </xf>
    <xf numFmtId="2" fontId="35" fillId="0" borderId="2" xfId="1" applyNumberFormat="1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68" fontId="9" fillId="8" borderId="24" xfId="0" quotePrefix="1" applyNumberFormat="1" applyFont="1" applyFill="1" applyBorder="1" applyAlignment="1">
      <alignment horizontal="center"/>
    </xf>
    <xf numFmtId="0" fontId="36" fillId="0" borderId="3" xfId="1" applyFont="1" applyBorder="1"/>
    <xf numFmtId="0" fontId="0" fillId="0" borderId="8" xfId="0" applyBorder="1"/>
    <xf numFmtId="0" fontId="0" fillId="0" borderId="23" xfId="0" applyBorder="1"/>
    <xf numFmtId="0" fontId="3" fillId="0" borderId="2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6" fillId="0" borderId="30" xfId="1" applyFont="1" applyBorder="1"/>
    <xf numFmtId="0" fontId="0" fillId="0" borderId="31" xfId="0" applyBorder="1"/>
    <xf numFmtId="0" fontId="0" fillId="0" borderId="32" xfId="0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 xr:uid="{4DA85D13-92B3-4FD5-AF78-DB373D8E380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104775</xdr:rowOff>
    </xdr:from>
    <xdr:to>
      <xdr:col>5</xdr:col>
      <xdr:colOff>38100</xdr:colOff>
      <xdr:row>12</xdr:row>
      <xdr:rowOff>114300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895D7B1-9EEE-489A-8484-D79BAB26BA6D}"/>
            </a:ext>
          </a:extLst>
        </xdr:cNvPr>
        <xdr:cNvSpPr/>
      </xdr:nvSpPr>
      <xdr:spPr>
        <a:xfrm>
          <a:off x="1114425" y="1781175"/>
          <a:ext cx="1476375" cy="5810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238125</xdr:colOff>
      <xdr:row>6</xdr:row>
      <xdr:rowOff>180975</xdr:rowOff>
    </xdr:from>
    <xdr:to>
      <xdr:col>2</xdr:col>
      <xdr:colOff>514350</xdr:colOff>
      <xdr:row>8</xdr:row>
      <xdr:rowOff>38100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D83D57A-25F0-44CC-91AB-C49AAF8CBA09}"/>
            </a:ext>
          </a:extLst>
        </xdr:cNvPr>
        <xdr:cNvCxnSpPr/>
      </xdr:nvCxnSpPr>
      <xdr:spPr>
        <a:xfrm>
          <a:off x="1095375" y="1285875"/>
          <a:ext cx="276225" cy="23812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99"/>
  <sheetViews>
    <sheetView showGridLines="0" tabSelected="1" workbookViewId="0">
      <selection activeCell="D13" sqref="D13"/>
    </sheetView>
  </sheetViews>
  <sheetFormatPr defaultColWidth="10" defaultRowHeight="15" x14ac:dyDescent="0.3"/>
  <cols>
    <col min="1" max="1" width="2.42578125" style="1" customWidth="1"/>
    <col min="2" max="2" width="10.42578125" style="1" customWidth="1"/>
    <col min="3" max="3" width="7.85546875" style="1" customWidth="1"/>
    <col min="4" max="4" width="15.140625" style="1" customWidth="1"/>
    <col min="5" max="5" width="2.42578125" style="1" customWidth="1"/>
    <col min="6" max="6" width="19.28515625" style="1" customWidth="1"/>
    <col min="7" max="7" width="12.28515625" style="1" customWidth="1"/>
    <col min="8" max="8" width="19" style="1" customWidth="1"/>
    <col min="9" max="9" width="11.42578125" style="1" customWidth="1"/>
    <col min="10" max="10" width="7.85546875" style="1" customWidth="1"/>
    <col min="11" max="11" width="7.42578125" style="1" customWidth="1"/>
    <col min="12" max="12" width="7.7109375" style="1" customWidth="1"/>
    <col min="13" max="13" width="10.140625" style="1" customWidth="1"/>
    <col min="14" max="14" width="24.7109375" style="1" customWidth="1"/>
    <col min="15" max="15" width="11.7109375" style="1" customWidth="1"/>
    <col min="16" max="16" width="14.7109375" style="1" customWidth="1"/>
    <col min="17" max="17" width="11.28515625" style="1" customWidth="1"/>
    <col min="18" max="18" width="8" style="1" customWidth="1"/>
    <col min="19" max="19" width="1.7109375" style="1" customWidth="1"/>
    <col min="20" max="20" width="31.5703125" style="1" bestFit="1" customWidth="1"/>
    <col min="21" max="16384" width="10" style="1"/>
  </cols>
  <sheetData>
    <row r="1" spans="2:21" ht="6.75" customHeight="1" x14ac:dyDescent="0.3"/>
    <row r="2" spans="2:21" ht="23.25" customHeight="1" x14ac:dyDescent="0.5">
      <c r="F2" s="2" t="s">
        <v>76</v>
      </c>
    </row>
    <row r="3" spans="2:21" ht="6.75" customHeight="1" x14ac:dyDescent="0.4">
      <c r="F3" s="3"/>
      <c r="G3" s="4"/>
      <c r="H3" s="5"/>
      <c r="I3" s="6"/>
      <c r="J3" s="6"/>
    </row>
    <row r="4" spans="2:21" ht="20.25" customHeight="1" x14ac:dyDescent="0.35">
      <c r="F4" s="7" t="s">
        <v>0</v>
      </c>
      <c r="G4" s="8">
        <v>420</v>
      </c>
      <c r="H4" s="9" t="s">
        <v>1</v>
      </c>
      <c r="I4" s="10">
        <v>130</v>
      </c>
      <c r="J4" s="11" t="s">
        <v>2</v>
      </c>
      <c r="R4" s="12" t="s">
        <v>3</v>
      </c>
      <c r="S4" s="13"/>
      <c r="T4" s="13"/>
    </row>
    <row r="5" spans="2:21" ht="15" customHeight="1" x14ac:dyDescent="0.35">
      <c r="F5" s="7" t="s">
        <v>4</v>
      </c>
      <c r="G5" s="8">
        <v>0</v>
      </c>
      <c r="H5" s="14" t="s">
        <v>5</v>
      </c>
      <c r="I5" s="10">
        <v>2</v>
      </c>
      <c r="J5" s="15"/>
      <c r="L5" s="16"/>
      <c r="Q5" s="17"/>
      <c r="R5" s="18" t="s">
        <v>6</v>
      </c>
      <c r="S5" s="17"/>
      <c r="T5" s="19">
        <v>45260</v>
      </c>
    </row>
    <row r="6" spans="2:21" ht="15" customHeight="1" x14ac:dyDescent="0.35">
      <c r="B6" s="192" t="s">
        <v>89</v>
      </c>
      <c r="C6" s="193"/>
      <c r="F6" s="7" t="s">
        <v>7</v>
      </c>
      <c r="G6" s="174">
        <v>0</v>
      </c>
      <c r="H6" s="20" t="s">
        <v>8</v>
      </c>
      <c r="I6" s="21" t="s">
        <v>3</v>
      </c>
      <c r="J6" s="22"/>
      <c r="Q6" s="23"/>
      <c r="R6" s="24" t="s">
        <v>9</v>
      </c>
      <c r="S6" s="17"/>
      <c r="T6" s="25">
        <v>14500</v>
      </c>
    </row>
    <row r="7" spans="2:21" ht="15" customHeight="1" x14ac:dyDescent="0.35">
      <c r="B7" s="193"/>
      <c r="C7" s="193"/>
      <c r="D7" s="15" t="s">
        <v>98</v>
      </c>
      <c r="F7" s="7" t="s">
        <v>11</v>
      </c>
      <c r="G7" s="174">
        <v>0</v>
      </c>
      <c r="H7" s="20" t="s">
        <v>12</v>
      </c>
      <c r="I7" s="21" t="s">
        <v>82</v>
      </c>
      <c r="J7" s="22"/>
      <c r="Q7" s="23"/>
      <c r="R7" s="24" t="s">
        <v>99</v>
      </c>
      <c r="S7" s="17"/>
      <c r="T7" s="25">
        <v>8930</v>
      </c>
    </row>
    <row r="8" spans="2:21" ht="15" customHeight="1" x14ac:dyDescent="0.35">
      <c r="D8" s="23" t="s">
        <v>13</v>
      </c>
      <c r="F8" s="7" t="s">
        <v>14</v>
      </c>
      <c r="G8" s="174">
        <v>0</v>
      </c>
      <c r="H8" s="20" t="s">
        <v>15</v>
      </c>
      <c r="I8" s="136">
        <v>2</v>
      </c>
      <c r="J8" s="26"/>
      <c r="K8" s="27" t="s">
        <v>16</v>
      </c>
      <c r="Q8" s="23"/>
      <c r="R8" s="24" t="s">
        <v>100</v>
      </c>
      <c r="S8" s="17"/>
      <c r="T8" s="28">
        <v>255.91399999999999</v>
      </c>
    </row>
    <row r="9" spans="2:21" ht="15" customHeight="1" x14ac:dyDescent="0.35">
      <c r="D9" s="137" t="s">
        <v>17</v>
      </c>
      <c r="F9" s="7" t="s">
        <v>18</v>
      </c>
      <c r="G9" s="174">
        <v>0</v>
      </c>
      <c r="H9" s="20" t="s">
        <v>19</v>
      </c>
      <c r="I9" s="140">
        <f>VLOOKUP(I8,B26:D31,2,TRUE)</f>
        <v>8930</v>
      </c>
      <c r="J9" s="29"/>
      <c r="Q9" s="23"/>
      <c r="R9" s="24" t="s">
        <v>101</v>
      </c>
      <c r="S9" s="17"/>
      <c r="T9" s="28">
        <f>T7*T8</f>
        <v>2285312.02</v>
      </c>
    </row>
    <row r="10" spans="2:21" ht="15" customHeight="1" x14ac:dyDescent="0.35">
      <c r="F10" s="7" t="s">
        <v>20</v>
      </c>
      <c r="G10" s="8">
        <v>0</v>
      </c>
      <c r="H10" s="30" t="s">
        <v>21</v>
      </c>
      <c r="I10" s="141">
        <f>G4</f>
        <v>420</v>
      </c>
      <c r="J10" s="29"/>
      <c r="Q10" s="17"/>
      <c r="R10" s="15" t="s">
        <v>22</v>
      </c>
      <c r="S10" s="17"/>
      <c r="T10" s="25">
        <v>13130</v>
      </c>
    </row>
    <row r="11" spans="2:21" ht="15" customHeight="1" x14ac:dyDescent="0.35">
      <c r="D11" s="105" t="s">
        <v>28</v>
      </c>
      <c r="F11" s="7" t="s">
        <v>23</v>
      </c>
      <c r="G11" s="172">
        <f>D12*0.14</f>
        <v>403.48</v>
      </c>
      <c r="H11" s="20" t="s">
        <v>24</v>
      </c>
      <c r="I11" s="140">
        <f>I9+I10+G15</f>
        <v>9350</v>
      </c>
      <c r="J11" s="29"/>
      <c r="K11" s="31" t="s">
        <v>25</v>
      </c>
      <c r="L11" s="32"/>
      <c r="Q11" s="17"/>
      <c r="R11" s="18" t="s">
        <v>27</v>
      </c>
      <c r="S11" s="17"/>
      <c r="T11" s="25">
        <v>14000</v>
      </c>
    </row>
    <row r="12" spans="2:21" ht="15" customHeight="1" x14ac:dyDescent="0.35">
      <c r="D12" s="138">
        <v>2882</v>
      </c>
      <c r="F12" s="7" t="s">
        <v>29</v>
      </c>
      <c r="G12" s="172">
        <f>D12*0.28</f>
        <v>806.96</v>
      </c>
      <c r="H12" s="33" t="s">
        <v>30</v>
      </c>
      <c r="I12" s="97">
        <f>SUM(G5:G14)</f>
        <v>2882</v>
      </c>
      <c r="J12" s="34"/>
      <c r="K12" s="35">
        <f>I15-I16</f>
        <v>242</v>
      </c>
      <c r="L12" s="36"/>
      <c r="Q12" s="23"/>
      <c r="R12" s="24" t="s">
        <v>32</v>
      </c>
      <c r="S12" s="17"/>
      <c r="T12" s="37">
        <v>13.1</v>
      </c>
    </row>
    <row r="13" spans="2:21" ht="15" customHeight="1" x14ac:dyDescent="0.35">
      <c r="F13" s="7" t="s">
        <v>33</v>
      </c>
      <c r="G13" s="172">
        <f>D12*0.36</f>
        <v>1037.52</v>
      </c>
      <c r="H13" s="38" t="s">
        <v>34</v>
      </c>
      <c r="I13" s="140">
        <f>I11+I12</f>
        <v>12232</v>
      </c>
      <c r="J13" s="39"/>
      <c r="K13" s="40" t="str">
        <f>IF(I13-1&lt;13130,"ZFW OK","BAD ZFW")</f>
        <v>ZFW OK</v>
      </c>
      <c r="L13" s="41"/>
    </row>
    <row r="14" spans="2:21" ht="15" customHeight="1" x14ac:dyDescent="0.35">
      <c r="D14" s="163" t="s">
        <v>83</v>
      </c>
      <c r="F14" s="7" t="s">
        <v>35</v>
      </c>
      <c r="G14" s="173">
        <f>D12*0.22</f>
        <v>634.04</v>
      </c>
      <c r="H14" s="42" t="s">
        <v>36</v>
      </c>
      <c r="I14" s="140">
        <f>G16</f>
        <v>2000</v>
      </c>
      <c r="J14" s="29"/>
      <c r="R14" s="65" t="s">
        <v>26</v>
      </c>
    </row>
    <row r="15" spans="2:21" ht="15" customHeight="1" x14ac:dyDescent="0.35">
      <c r="D15" s="164">
        <v>45260</v>
      </c>
      <c r="F15" s="53" t="s">
        <v>37</v>
      </c>
      <c r="G15" s="54">
        <v>0</v>
      </c>
      <c r="H15" s="43" t="s">
        <v>38</v>
      </c>
      <c r="I15" s="98">
        <v>14500</v>
      </c>
      <c r="J15" s="44"/>
      <c r="K15" s="45"/>
      <c r="L15" s="46"/>
      <c r="R15" s="65" t="s">
        <v>31</v>
      </c>
      <c r="T15" s="48"/>
      <c r="U15" s="48"/>
    </row>
    <row r="16" spans="2:21" ht="15" customHeight="1" x14ac:dyDescent="0.35">
      <c r="D16" s="163" t="s">
        <v>84</v>
      </c>
      <c r="F16" s="20" t="s">
        <v>74</v>
      </c>
      <c r="G16" s="132">
        <v>2000</v>
      </c>
      <c r="H16" s="43" t="s">
        <v>39</v>
      </c>
      <c r="I16" s="98">
        <f>O43</f>
        <v>14258</v>
      </c>
      <c r="J16" s="44"/>
      <c r="K16" s="49" t="str">
        <f>IF(I16-1&lt;14500,"T.O. Wt OK",M52)</f>
        <v>T.O. Wt OK</v>
      </c>
      <c r="L16" s="50"/>
      <c r="R16" s="47"/>
      <c r="T16" s="48"/>
      <c r="U16" s="48"/>
    </row>
    <row r="17" spans="2:21" ht="13.5" customHeight="1" x14ac:dyDescent="0.35">
      <c r="D17" s="185" t="s">
        <v>102</v>
      </c>
      <c r="F17" s="20" t="s">
        <v>40</v>
      </c>
      <c r="G17" s="139">
        <f>G16/6.7</f>
        <v>298.50746268656718</v>
      </c>
      <c r="H17" s="43" t="s">
        <v>41</v>
      </c>
      <c r="I17" s="102">
        <f>IF(I16&lt;5201,D35,C35)</f>
        <v>260.42</v>
      </c>
      <c r="J17" s="103">
        <v>-277</v>
      </c>
      <c r="K17" s="46"/>
      <c r="L17" s="46"/>
      <c r="R17" s="47"/>
      <c r="T17" s="48"/>
      <c r="U17" s="48"/>
    </row>
    <row r="18" spans="2:21" ht="15" customHeight="1" x14ac:dyDescent="0.35">
      <c r="F18" s="64" t="s">
        <v>42</v>
      </c>
      <c r="G18" s="65"/>
      <c r="H18" s="43" t="s">
        <v>43</v>
      </c>
      <c r="I18" s="183">
        <f>P43</f>
        <v>272.30980502174214</v>
      </c>
      <c r="J18" s="51"/>
      <c r="K18" s="49" t="str">
        <f>IF(Take_Off_C.G.&lt;277,D54,"Bad CG")</f>
        <v>OK CG</v>
      </c>
      <c r="L18" s="50"/>
      <c r="R18" s="47"/>
      <c r="T18" s="48"/>
      <c r="U18" s="48"/>
    </row>
    <row r="19" spans="2:21" ht="15" customHeight="1" x14ac:dyDescent="0.35">
      <c r="F19" s="64"/>
      <c r="G19" s="65"/>
      <c r="H19" s="126" t="s">
        <v>44</v>
      </c>
      <c r="I19" s="104">
        <f>IF(Take_Off_Wt.&gt;Max_Ld_Wt.,H29,"No Limit")</f>
        <v>28.666666666666668</v>
      </c>
      <c r="J19" s="96" t="s">
        <v>45</v>
      </c>
      <c r="K19" s="52"/>
      <c r="R19" s="47"/>
      <c r="T19" s="48"/>
      <c r="U19" s="48"/>
    </row>
    <row r="20" spans="2:21" ht="15" customHeight="1" thickBot="1" x14ac:dyDescent="0.35">
      <c r="G20" s="123"/>
      <c r="H20" s="127" t="s">
        <v>46</v>
      </c>
      <c r="I20" s="100">
        <f>G16-((I5*J22)+(I4-(I5*25)+45)*I21)</f>
        <v>415</v>
      </c>
      <c r="J20" s="55" t="s">
        <v>47</v>
      </c>
      <c r="K20" s="56" t="str">
        <f>IF(I20&gt;-1,"Fuel OK","More Fuel")</f>
        <v>Fuel OK</v>
      </c>
      <c r="L20" s="57"/>
      <c r="M20" s="58"/>
      <c r="R20" s="47"/>
      <c r="T20" s="48"/>
      <c r="U20" s="48"/>
    </row>
    <row r="21" spans="2:21" ht="15" customHeight="1" x14ac:dyDescent="0.3">
      <c r="C21" s="142" t="s">
        <v>73</v>
      </c>
      <c r="D21" s="143"/>
      <c r="E21" s="143"/>
      <c r="F21" s="144"/>
      <c r="G21" s="123"/>
      <c r="H21" s="127" t="s">
        <v>48</v>
      </c>
      <c r="I21" s="101">
        <f>540/60</f>
        <v>9</v>
      </c>
      <c r="J21" s="59" t="s">
        <v>49</v>
      </c>
      <c r="K21" s="60">
        <f>(I5*J22)+(I4-(I5*25))*I21</f>
        <v>1180</v>
      </c>
      <c r="L21" s="61" t="s">
        <v>50</v>
      </c>
      <c r="M21" s="62"/>
      <c r="N21" s="184"/>
    </row>
    <row r="22" spans="2:21" ht="15" customHeight="1" thickBot="1" x14ac:dyDescent="0.35">
      <c r="C22" s="145"/>
      <c r="D22" s="146" t="s">
        <v>75</v>
      </c>
      <c r="E22" s="147"/>
      <c r="F22" s="148"/>
      <c r="G22" s="123"/>
      <c r="I22" s="66" t="s">
        <v>51</v>
      </c>
      <c r="J22" s="67">
        <v>230</v>
      </c>
      <c r="L22" s="68"/>
      <c r="M22" s="68"/>
      <c r="N22" s="63"/>
      <c r="O22" s="63"/>
      <c r="P22" s="63"/>
    </row>
    <row r="23" spans="2:21" ht="15" customHeight="1" x14ac:dyDescent="0.3">
      <c r="G23" s="123"/>
      <c r="N23" s="68"/>
      <c r="O23" s="68"/>
      <c r="P23" s="68"/>
    </row>
    <row r="24" spans="2:21" ht="15.75" thickBot="1" x14ac:dyDescent="0.35">
      <c r="G24" s="123"/>
      <c r="H24" s="66"/>
      <c r="I24" s="66"/>
      <c r="J24" s="27"/>
      <c r="L24" s="68"/>
      <c r="M24" s="68"/>
      <c r="N24" s="68"/>
      <c r="O24" s="68"/>
      <c r="P24" s="68"/>
    </row>
    <row r="25" spans="2:21" ht="15.75" thickBot="1" x14ac:dyDescent="0.35">
      <c r="B25" s="189" t="s">
        <v>104</v>
      </c>
      <c r="C25" s="190"/>
      <c r="D25" s="190"/>
      <c r="E25" s="190"/>
      <c r="F25" s="190"/>
      <c r="G25" s="191"/>
    </row>
    <row r="26" spans="2:21" ht="24.75" customHeight="1" x14ac:dyDescent="0.3">
      <c r="B26" s="175">
        <v>1</v>
      </c>
      <c r="C26" s="176">
        <v>8917</v>
      </c>
      <c r="D26" s="177">
        <v>256.06</v>
      </c>
      <c r="E26" s="194" t="s">
        <v>85</v>
      </c>
      <c r="F26" s="195"/>
      <c r="G26" s="196"/>
      <c r="S26" s="69"/>
      <c r="T26" s="69"/>
    </row>
    <row r="27" spans="2:21" x14ac:dyDescent="0.3">
      <c r="B27" s="178">
        <v>2</v>
      </c>
      <c r="C27" s="179">
        <v>8930</v>
      </c>
      <c r="D27" s="180">
        <v>255.91399999999999</v>
      </c>
      <c r="E27" s="186" t="s">
        <v>97</v>
      </c>
      <c r="F27" s="187"/>
      <c r="G27" s="188"/>
      <c r="N27" s="71" t="s">
        <v>52</v>
      </c>
      <c r="O27" s="72" t="s">
        <v>53</v>
      </c>
      <c r="P27" s="72" t="s">
        <v>54</v>
      </c>
      <c r="Q27" s="70" t="s">
        <v>55</v>
      </c>
      <c r="S27" s="69"/>
      <c r="T27" s="73"/>
    </row>
    <row r="28" spans="2:21" x14ac:dyDescent="0.3">
      <c r="B28" s="178">
        <v>3</v>
      </c>
      <c r="C28" s="181">
        <v>8829</v>
      </c>
      <c r="D28" s="182">
        <v>255.4</v>
      </c>
      <c r="E28" s="186" t="s">
        <v>95</v>
      </c>
      <c r="F28" s="187"/>
      <c r="G28" s="188"/>
      <c r="H28" s="74" t="s">
        <v>56</v>
      </c>
      <c r="N28" s="75" t="s">
        <v>57</v>
      </c>
      <c r="O28" s="76">
        <f>I9</f>
        <v>8930</v>
      </c>
      <c r="P28" s="128">
        <f>D34</f>
        <v>255.91399999999999</v>
      </c>
      <c r="Q28" s="129">
        <f>D33*D34</f>
        <v>2285312.02</v>
      </c>
      <c r="S28" s="69"/>
      <c r="T28" s="73"/>
    </row>
    <row r="29" spans="2:21" x14ac:dyDescent="0.3">
      <c r="B29" s="178">
        <v>4</v>
      </c>
      <c r="C29" s="181">
        <v>8829</v>
      </c>
      <c r="D29" s="182">
        <v>256.16000000000003</v>
      </c>
      <c r="E29" s="186" t="s">
        <v>96</v>
      </c>
      <c r="F29" s="187"/>
      <c r="G29" s="188"/>
      <c r="H29" s="77">
        <f>((Take_Off_Wt.-Max_Ld_Wt.)/I21)</f>
        <v>28.666666666666668</v>
      </c>
      <c r="N29" s="75" t="s">
        <v>0</v>
      </c>
      <c r="O29" s="76">
        <f t="shared" ref="O29:O39" si="0">G4</f>
        <v>420</v>
      </c>
      <c r="P29" s="128">
        <v>111</v>
      </c>
      <c r="Q29" s="129">
        <f t="shared" ref="Q29:Q39" si="1">G4*P29</f>
        <v>46620</v>
      </c>
      <c r="S29" s="69"/>
      <c r="T29" s="73"/>
    </row>
    <row r="30" spans="2:21" ht="16.5" x14ac:dyDescent="0.35">
      <c r="B30" s="23"/>
      <c r="C30" s="79"/>
      <c r="D30" s="149"/>
      <c r="E30" s="156"/>
      <c r="F30" s="157"/>
      <c r="G30" s="159"/>
      <c r="H30" s="78"/>
      <c r="N30" s="75" t="s">
        <v>4</v>
      </c>
      <c r="O30" s="76">
        <f t="shared" si="0"/>
        <v>0</v>
      </c>
      <c r="P30" s="128">
        <v>154</v>
      </c>
      <c r="Q30" s="129">
        <f t="shared" si="1"/>
        <v>0</v>
      </c>
      <c r="S30" s="69"/>
      <c r="T30" s="73"/>
    </row>
    <row r="31" spans="2:21" ht="16.5" x14ac:dyDescent="0.35">
      <c r="B31" s="23"/>
      <c r="C31" s="79"/>
      <c r="D31" s="149"/>
      <c r="E31" s="160"/>
      <c r="F31" s="161"/>
      <c r="G31" s="162"/>
      <c r="N31" s="75" t="s">
        <v>7</v>
      </c>
      <c r="O31" s="76">
        <f t="shared" si="0"/>
        <v>0</v>
      </c>
      <c r="P31" s="128">
        <v>184</v>
      </c>
      <c r="Q31" s="129">
        <f t="shared" si="1"/>
        <v>0</v>
      </c>
      <c r="S31" s="69"/>
      <c r="T31" s="73"/>
    </row>
    <row r="32" spans="2:21" x14ac:dyDescent="0.3">
      <c r="D32" s="48"/>
      <c r="N32" s="75" t="s">
        <v>11</v>
      </c>
      <c r="O32" s="76">
        <f t="shared" si="0"/>
        <v>0</v>
      </c>
      <c r="P32" s="128">
        <v>214</v>
      </c>
      <c r="Q32" s="129">
        <f t="shared" si="1"/>
        <v>0</v>
      </c>
      <c r="S32" s="69"/>
      <c r="T32" s="73"/>
    </row>
    <row r="33" spans="3:20" ht="14.25" customHeight="1" x14ac:dyDescent="0.3">
      <c r="C33" s="127" t="s">
        <v>58</v>
      </c>
      <c r="D33" s="79">
        <f>I9</f>
        <v>8930</v>
      </c>
      <c r="G33" s="80" t="s">
        <v>59</v>
      </c>
      <c r="H33" s="80"/>
      <c r="I33" s="80"/>
      <c r="N33" s="75" t="s">
        <v>14</v>
      </c>
      <c r="O33" s="76">
        <f t="shared" si="0"/>
        <v>0</v>
      </c>
      <c r="P33" s="150">
        <v>244</v>
      </c>
      <c r="Q33" s="129">
        <f t="shared" si="1"/>
        <v>0</v>
      </c>
      <c r="S33" s="69"/>
      <c r="T33" s="73"/>
    </row>
    <row r="34" spans="3:20" x14ac:dyDescent="0.3">
      <c r="C34" s="127" t="s">
        <v>60</v>
      </c>
      <c r="D34" s="81">
        <f>VLOOKUP(I8,B26:D31,3,TRUE)</f>
        <v>255.91399999999999</v>
      </c>
      <c r="G34" s="82" t="s">
        <v>61</v>
      </c>
      <c r="H34" s="82" t="s">
        <v>62</v>
      </c>
      <c r="I34" s="82" t="s">
        <v>63</v>
      </c>
      <c r="N34" s="75" t="s">
        <v>18</v>
      </c>
      <c r="O34" s="76">
        <f t="shared" si="0"/>
        <v>0</v>
      </c>
      <c r="P34" s="128">
        <v>275</v>
      </c>
      <c r="Q34" s="129">
        <f t="shared" si="1"/>
        <v>0</v>
      </c>
      <c r="S34" s="69"/>
      <c r="T34" s="73"/>
    </row>
    <row r="35" spans="3:20" x14ac:dyDescent="0.3">
      <c r="C35" s="48">
        <f t="shared" ref="C35:C66" si="2">IF(Take_Off_Wt.&lt;G35,H35,C36)</f>
        <v>260.42</v>
      </c>
      <c r="D35" s="48"/>
      <c r="G35" s="83">
        <v>11000</v>
      </c>
      <c r="H35" s="84">
        <v>257</v>
      </c>
      <c r="I35" s="85">
        <v>277</v>
      </c>
      <c r="N35" s="75" t="s">
        <v>81</v>
      </c>
      <c r="O35" s="76">
        <f t="shared" si="0"/>
        <v>0</v>
      </c>
      <c r="P35" s="128">
        <v>42</v>
      </c>
      <c r="Q35" s="129">
        <f t="shared" si="1"/>
        <v>0</v>
      </c>
      <c r="S35" s="69"/>
      <c r="T35" s="73"/>
    </row>
    <row r="36" spans="3:20" x14ac:dyDescent="0.3">
      <c r="C36" s="48">
        <f t="shared" si="2"/>
        <v>260.42</v>
      </c>
      <c r="D36" s="48"/>
      <c r="G36" s="86">
        <v>11100</v>
      </c>
      <c r="H36" s="87">
        <v>257.10000000000002</v>
      </c>
      <c r="I36" s="88">
        <v>277</v>
      </c>
      <c r="N36" s="75" t="s">
        <v>77</v>
      </c>
      <c r="O36" s="76">
        <f t="shared" si="0"/>
        <v>403.48</v>
      </c>
      <c r="P36" s="128">
        <v>193.5</v>
      </c>
      <c r="Q36" s="129">
        <f t="shared" si="1"/>
        <v>78073.38</v>
      </c>
      <c r="S36" s="69"/>
      <c r="T36" s="73"/>
    </row>
    <row r="37" spans="3:20" x14ac:dyDescent="0.3">
      <c r="C37" s="48">
        <f t="shared" si="2"/>
        <v>260.42</v>
      </c>
      <c r="D37" s="48"/>
      <c r="G37" s="86">
        <v>11200</v>
      </c>
      <c r="H37" s="87">
        <v>257.2</v>
      </c>
      <c r="I37" s="88">
        <v>277</v>
      </c>
      <c r="N37" s="75" t="s">
        <v>78</v>
      </c>
      <c r="O37" s="76">
        <f t="shared" si="0"/>
        <v>806.96</v>
      </c>
      <c r="P37" s="128">
        <v>265</v>
      </c>
      <c r="Q37" s="129">
        <f t="shared" si="1"/>
        <v>213844.40000000002</v>
      </c>
      <c r="S37" s="69"/>
      <c r="T37" s="73"/>
    </row>
    <row r="38" spans="3:20" x14ac:dyDescent="0.3">
      <c r="C38" s="48">
        <f t="shared" si="2"/>
        <v>260.42</v>
      </c>
      <c r="D38" s="48"/>
      <c r="G38" s="86">
        <v>11300</v>
      </c>
      <c r="H38" s="87">
        <v>257.3</v>
      </c>
      <c r="I38" s="88">
        <v>277</v>
      </c>
      <c r="N38" s="75" t="s">
        <v>79</v>
      </c>
      <c r="O38" s="76">
        <f t="shared" si="0"/>
        <v>1037.52</v>
      </c>
      <c r="P38" s="128">
        <v>370</v>
      </c>
      <c r="Q38" s="129">
        <f t="shared" si="1"/>
        <v>383882.39999999997</v>
      </c>
      <c r="S38" s="69"/>
      <c r="T38" s="69"/>
    </row>
    <row r="39" spans="3:20" x14ac:dyDescent="0.3">
      <c r="C39" s="48">
        <f t="shared" si="2"/>
        <v>260.42</v>
      </c>
      <c r="D39" s="48"/>
      <c r="G39" s="86">
        <v>11400</v>
      </c>
      <c r="H39" s="87">
        <v>257.39999999999998</v>
      </c>
      <c r="I39" s="88">
        <v>277</v>
      </c>
      <c r="N39" s="75" t="s">
        <v>80</v>
      </c>
      <c r="O39" s="76">
        <f t="shared" si="0"/>
        <v>634.04</v>
      </c>
      <c r="P39" s="128">
        <v>475</v>
      </c>
      <c r="Q39" s="129">
        <f t="shared" si="1"/>
        <v>301169</v>
      </c>
      <c r="S39" s="73"/>
      <c r="T39" s="69"/>
    </row>
    <row r="40" spans="3:20" x14ac:dyDescent="0.3">
      <c r="C40" s="48">
        <f t="shared" si="2"/>
        <v>260.42</v>
      </c>
      <c r="D40" s="48"/>
      <c r="G40" s="86">
        <v>11500</v>
      </c>
      <c r="H40" s="87">
        <v>257.5</v>
      </c>
      <c r="I40" s="88">
        <v>277</v>
      </c>
      <c r="N40" s="75" t="s">
        <v>10</v>
      </c>
      <c r="O40" s="133">
        <v>26</v>
      </c>
      <c r="P40" s="130">
        <f>IF(D9="nose",42,525)</f>
        <v>42</v>
      </c>
      <c r="Q40" s="131">
        <f>O40*P40</f>
        <v>1092</v>
      </c>
      <c r="S40" s="73"/>
      <c r="T40" s="69"/>
    </row>
    <row r="41" spans="3:20" x14ac:dyDescent="0.3">
      <c r="C41" s="48">
        <f t="shared" si="2"/>
        <v>260.42</v>
      </c>
      <c r="D41" s="48"/>
      <c r="G41" s="86">
        <v>11600</v>
      </c>
      <c r="H41" s="87">
        <v>257.60000000000002</v>
      </c>
      <c r="I41" s="88">
        <v>277</v>
      </c>
      <c r="N41" s="75" t="s">
        <v>64</v>
      </c>
      <c r="O41" s="76">
        <f>G15</f>
        <v>0</v>
      </c>
      <c r="P41" s="128">
        <v>21</v>
      </c>
      <c r="Q41" s="129">
        <f>G15*P41</f>
        <v>0</v>
      </c>
      <c r="S41" s="73"/>
      <c r="T41" s="69"/>
    </row>
    <row r="42" spans="3:20" x14ac:dyDescent="0.3">
      <c r="C42" s="48">
        <f t="shared" si="2"/>
        <v>260.42</v>
      </c>
      <c r="D42" s="48"/>
      <c r="G42" s="86">
        <v>11700</v>
      </c>
      <c r="H42" s="87">
        <v>257.7</v>
      </c>
      <c r="I42" s="88">
        <v>277</v>
      </c>
      <c r="N42" s="75" t="s">
        <v>65</v>
      </c>
      <c r="O42" s="76">
        <f>G16</f>
        <v>2000</v>
      </c>
      <c r="P42" s="128">
        <f>VLOOKUP(G16,L55:N97,3)</f>
        <v>286.3</v>
      </c>
      <c r="Q42" s="129">
        <f>G16*P42</f>
        <v>572600</v>
      </c>
      <c r="S42" s="73"/>
      <c r="T42" s="69"/>
    </row>
    <row r="43" spans="3:20" ht="16.5" x14ac:dyDescent="0.35">
      <c r="C43" s="48">
        <f t="shared" si="2"/>
        <v>260.42</v>
      </c>
      <c r="D43" s="48"/>
      <c r="G43" s="86">
        <v>11800</v>
      </c>
      <c r="H43" s="87">
        <v>257.8</v>
      </c>
      <c r="I43" s="88">
        <v>277</v>
      </c>
      <c r="N43" s="124" t="s">
        <v>66</v>
      </c>
      <c r="O43" s="134">
        <f>SUM(O28:O42)</f>
        <v>14258</v>
      </c>
      <c r="P43" s="135">
        <f>Loaded_Monent/O43</f>
        <v>272.30980502174214</v>
      </c>
      <c r="Q43" s="125">
        <f>SUM(Q28:Q42)</f>
        <v>3882593.1999999997</v>
      </c>
      <c r="R43" s="89" t="s">
        <v>67</v>
      </c>
      <c r="S43" s="73"/>
    </row>
    <row r="44" spans="3:20" x14ac:dyDescent="0.3">
      <c r="C44" s="48">
        <f t="shared" si="2"/>
        <v>260.42</v>
      </c>
      <c r="D44" s="48"/>
      <c r="G44" s="86">
        <v>11900</v>
      </c>
      <c r="H44" s="87">
        <v>257.89999999999998</v>
      </c>
      <c r="I44" s="88">
        <v>277</v>
      </c>
      <c r="S44" s="73"/>
      <c r="T44" s="73"/>
    </row>
    <row r="45" spans="3:20" x14ac:dyDescent="0.3">
      <c r="C45" s="48">
        <f t="shared" si="2"/>
        <v>260.42</v>
      </c>
      <c r="D45" s="48"/>
      <c r="G45" s="86">
        <v>12000</v>
      </c>
      <c r="H45" s="87">
        <v>258</v>
      </c>
      <c r="I45" s="88">
        <v>277</v>
      </c>
      <c r="P45" s="27"/>
    </row>
    <row r="46" spans="3:20" x14ac:dyDescent="0.3">
      <c r="C46" s="48">
        <f t="shared" si="2"/>
        <v>260.42</v>
      </c>
      <c r="D46" s="48"/>
      <c r="G46" s="86">
        <v>12100</v>
      </c>
      <c r="H46" s="87">
        <v>258.10000000000002</v>
      </c>
      <c r="I46" s="88">
        <v>277</v>
      </c>
      <c r="R46" s="27"/>
    </row>
    <row r="47" spans="3:20" x14ac:dyDescent="0.3">
      <c r="C47" s="48">
        <f t="shared" si="2"/>
        <v>260.42</v>
      </c>
      <c r="D47" s="48"/>
      <c r="G47" s="86">
        <v>12200</v>
      </c>
      <c r="H47" s="87">
        <v>258.2</v>
      </c>
      <c r="I47" s="88">
        <v>277</v>
      </c>
      <c r="N47" s="92"/>
      <c r="O47" s="92"/>
      <c r="P47" s="92"/>
      <c r="Q47" s="92"/>
    </row>
    <row r="48" spans="3:20" x14ac:dyDescent="0.3">
      <c r="C48" s="48">
        <f t="shared" si="2"/>
        <v>260.42</v>
      </c>
      <c r="D48" s="48"/>
      <c r="G48" s="86">
        <v>12300</v>
      </c>
      <c r="H48" s="87">
        <v>258.3</v>
      </c>
      <c r="I48" s="88">
        <v>277</v>
      </c>
    </row>
    <row r="49" spans="3:14" x14ac:dyDescent="0.3">
      <c r="C49" s="48">
        <f t="shared" si="2"/>
        <v>260.42</v>
      </c>
      <c r="D49" s="48"/>
      <c r="G49" s="86">
        <v>12400</v>
      </c>
      <c r="H49" s="87">
        <v>258.39999999999998</v>
      </c>
      <c r="I49" s="88">
        <v>277</v>
      </c>
    </row>
    <row r="50" spans="3:14" x14ac:dyDescent="0.3">
      <c r="C50" s="48">
        <f t="shared" si="2"/>
        <v>260.42</v>
      </c>
      <c r="D50" s="48"/>
      <c r="G50" s="86">
        <v>12500</v>
      </c>
      <c r="H50" s="87">
        <v>258.5</v>
      </c>
      <c r="I50" s="88">
        <v>277</v>
      </c>
      <c r="L50" s="90"/>
    </row>
    <row r="51" spans="3:14" x14ac:dyDescent="0.3">
      <c r="C51" s="48">
        <f t="shared" si="2"/>
        <v>260.42</v>
      </c>
      <c r="D51" s="48"/>
      <c r="G51" s="86">
        <v>12600</v>
      </c>
      <c r="H51" s="87">
        <v>258.60000000000002</v>
      </c>
      <c r="I51" s="88">
        <v>277</v>
      </c>
    </row>
    <row r="52" spans="3:14" x14ac:dyDescent="0.3">
      <c r="C52" s="48">
        <f t="shared" si="2"/>
        <v>260.42</v>
      </c>
      <c r="D52" s="48"/>
      <c r="G52" s="86">
        <v>12700</v>
      </c>
      <c r="H52" s="87">
        <v>258.7</v>
      </c>
      <c r="I52" s="88">
        <v>277</v>
      </c>
      <c r="L52" s="91" t="s">
        <v>68</v>
      </c>
      <c r="M52" s="92" t="str">
        <f>IF(I16&gt;14600,"Over Gross","Burn Taxi Fuel")</f>
        <v>Burn Taxi Fuel</v>
      </c>
    </row>
    <row r="53" spans="3:14" ht="16.5" x14ac:dyDescent="0.35">
      <c r="C53" s="48">
        <f t="shared" si="2"/>
        <v>260.42</v>
      </c>
      <c r="D53" s="48"/>
      <c r="G53" s="86">
        <v>12800</v>
      </c>
      <c r="H53" s="87">
        <v>258.8</v>
      </c>
      <c r="I53" s="88">
        <v>277</v>
      </c>
      <c r="N53" s="118" t="s">
        <v>69</v>
      </c>
    </row>
    <row r="54" spans="3:14" ht="25.5" x14ac:dyDescent="0.3">
      <c r="C54" s="48">
        <f t="shared" si="2"/>
        <v>260.42</v>
      </c>
      <c r="D54" s="1" t="str">
        <f>IF(I18&lt;I17,"C.G. Not OK","OK CG")</f>
        <v>OK CG</v>
      </c>
      <c r="G54" s="86">
        <v>12900</v>
      </c>
      <c r="H54" s="87">
        <v>258.89999999999998</v>
      </c>
      <c r="I54" s="88">
        <v>277</v>
      </c>
      <c r="K54" s="106"/>
      <c r="L54" s="116" t="s">
        <v>47</v>
      </c>
      <c r="M54" s="117" t="s">
        <v>70</v>
      </c>
      <c r="N54" s="107" t="s">
        <v>54</v>
      </c>
    </row>
    <row r="55" spans="3:14" x14ac:dyDescent="0.3">
      <c r="C55" s="48">
        <f t="shared" si="2"/>
        <v>260.42</v>
      </c>
      <c r="G55" s="86">
        <v>13000</v>
      </c>
      <c r="H55" s="87">
        <v>259</v>
      </c>
      <c r="I55" s="88">
        <v>277</v>
      </c>
      <c r="K55" s="108"/>
      <c r="L55" s="122">
        <v>100</v>
      </c>
      <c r="M55" s="109">
        <f t="shared" ref="M55:M97" si="3">L55/6.7</f>
        <v>14.925373134328359</v>
      </c>
      <c r="N55" s="119">
        <v>293.89999999999998</v>
      </c>
    </row>
    <row r="56" spans="3:14" x14ac:dyDescent="0.3">
      <c r="C56" s="48">
        <f t="shared" si="2"/>
        <v>260.42</v>
      </c>
      <c r="G56" s="86">
        <v>13100</v>
      </c>
      <c r="H56" s="87">
        <v>259.10000000000002</v>
      </c>
      <c r="I56" s="88">
        <v>277</v>
      </c>
      <c r="K56" s="108"/>
      <c r="L56" s="110">
        <v>200</v>
      </c>
      <c r="M56" s="111">
        <f t="shared" si="3"/>
        <v>29.850746268656717</v>
      </c>
      <c r="N56" s="120">
        <v>293.60000000000002</v>
      </c>
    </row>
    <row r="57" spans="3:14" x14ac:dyDescent="0.3">
      <c r="C57" s="48">
        <f t="shared" si="2"/>
        <v>260.42</v>
      </c>
      <c r="G57" s="86">
        <v>13200</v>
      </c>
      <c r="H57" s="87">
        <v>259.2</v>
      </c>
      <c r="I57" s="88">
        <v>277</v>
      </c>
      <c r="K57" s="108"/>
      <c r="L57" s="110">
        <v>300</v>
      </c>
      <c r="M57" s="111">
        <f t="shared" si="3"/>
        <v>44.776119402985074</v>
      </c>
      <c r="N57" s="120">
        <v>293.3</v>
      </c>
    </row>
    <row r="58" spans="3:14" x14ac:dyDescent="0.3">
      <c r="C58" s="48">
        <f t="shared" si="2"/>
        <v>260.42</v>
      </c>
      <c r="G58" s="86">
        <v>13300</v>
      </c>
      <c r="H58" s="87">
        <v>259.3</v>
      </c>
      <c r="I58" s="88">
        <v>277</v>
      </c>
      <c r="K58" s="108"/>
      <c r="L58" s="110">
        <v>400</v>
      </c>
      <c r="M58" s="111">
        <f t="shared" si="3"/>
        <v>59.701492537313435</v>
      </c>
      <c r="N58" s="120">
        <v>293</v>
      </c>
    </row>
    <row r="59" spans="3:14" x14ac:dyDescent="0.3">
      <c r="C59" s="48">
        <f t="shared" si="2"/>
        <v>260.42</v>
      </c>
      <c r="G59" s="86">
        <v>13400</v>
      </c>
      <c r="H59" s="87">
        <v>259.39999999999998</v>
      </c>
      <c r="I59" s="88">
        <v>277</v>
      </c>
      <c r="K59" s="108"/>
      <c r="L59" s="110">
        <v>500</v>
      </c>
      <c r="M59" s="111">
        <f t="shared" si="3"/>
        <v>74.626865671641795</v>
      </c>
      <c r="N59" s="120">
        <f>AVERAGE(N58,N60)</f>
        <v>292.64999999999998</v>
      </c>
    </row>
    <row r="60" spans="3:14" x14ac:dyDescent="0.3">
      <c r="C60" s="48">
        <f t="shared" si="2"/>
        <v>260.42</v>
      </c>
      <c r="G60" s="86">
        <v>13500</v>
      </c>
      <c r="H60" s="87">
        <v>259.5</v>
      </c>
      <c r="I60" s="88">
        <v>277</v>
      </c>
      <c r="K60" s="108"/>
      <c r="L60" s="110">
        <v>600</v>
      </c>
      <c r="M60" s="111">
        <f t="shared" si="3"/>
        <v>89.552238805970148</v>
      </c>
      <c r="N60" s="120">
        <v>292.3</v>
      </c>
    </row>
    <row r="61" spans="3:14" x14ac:dyDescent="0.3">
      <c r="C61" s="48">
        <f t="shared" si="2"/>
        <v>260.42</v>
      </c>
      <c r="G61" s="86">
        <v>13600</v>
      </c>
      <c r="H61" s="87">
        <v>259.60000000000002</v>
      </c>
      <c r="I61" s="88">
        <v>277</v>
      </c>
      <c r="K61" s="108"/>
      <c r="L61" s="110">
        <v>700</v>
      </c>
      <c r="M61" s="111">
        <f t="shared" si="3"/>
        <v>104.4776119402985</v>
      </c>
      <c r="N61" s="120">
        <f>AVERAGE(N60,N62)</f>
        <v>291.85000000000002</v>
      </c>
    </row>
    <row r="62" spans="3:14" x14ac:dyDescent="0.3">
      <c r="C62" s="48">
        <f t="shared" si="2"/>
        <v>260.42</v>
      </c>
      <c r="G62" s="86">
        <v>13700</v>
      </c>
      <c r="H62" s="87">
        <v>259.7</v>
      </c>
      <c r="I62" s="88">
        <v>277</v>
      </c>
      <c r="K62" s="108"/>
      <c r="L62" s="110">
        <v>800</v>
      </c>
      <c r="M62" s="111">
        <f t="shared" si="3"/>
        <v>119.40298507462687</v>
      </c>
      <c r="N62" s="120">
        <v>291.39999999999998</v>
      </c>
    </row>
    <row r="63" spans="3:14" x14ac:dyDescent="0.3">
      <c r="C63" s="48">
        <f t="shared" si="2"/>
        <v>260.42</v>
      </c>
      <c r="G63" s="86">
        <v>13800</v>
      </c>
      <c r="H63" s="87">
        <v>259.8</v>
      </c>
      <c r="I63" s="88">
        <v>277</v>
      </c>
      <c r="K63" s="108"/>
      <c r="L63" s="110">
        <v>900</v>
      </c>
      <c r="M63" s="111">
        <f t="shared" si="3"/>
        <v>134.32835820895522</v>
      </c>
      <c r="N63" s="120">
        <f>AVERAGE(N62,N64)</f>
        <v>290.95</v>
      </c>
    </row>
    <row r="64" spans="3:14" x14ac:dyDescent="0.3">
      <c r="C64" s="48">
        <f t="shared" si="2"/>
        <v>260.42</v>
      </c>
      <c r="G64" s="86">
        <v>13900</v>
      </c>
      <c r="H64" s="87">
        <v>259.89999999999998</v>
      </c>
      <c r="I64" s="88">
        <v>277</v>
      </c>
      <c r="K64" s="108"/>
      <c r="L64" s="110">
        <v>1000</v>
      </c>
      <c r="M64" s="111">
        <f t="shared" si="3"/>
        <v>149.25373134328359</v>
      </c>
      <c r="N64" s="120">
        <v>290.5</v>
      </c>
    </row>
    <row r="65" spans="3:14" x14ac:dyDescent="0.3">
      <c r="C65" s="48">
        <f t="shared" si="2"/>
        <v>260.42</v>
      </c>
      <c r="G65" s="86">
        <v>14000</v>
      </c>
      <c r="H65" s="87">
        <v>260</v>
      </c>
      <c r="I65" s="88">
        <v>277</v>
      </c>
      <c r="K65" s="108"/>
      <c r="L65" s="110">
        <v>1100</v>
      </c>
      <c r="M65" s="111">
        <f t="shared" si="3"/>
        <v>164.17910447761193</v>
      </c>
      <c r="N65" s="120">
        <f>AVERAGE(N64,N66)</f>
        <v>290.05</v>
      </c>
    </row>
    <row r="66" spans="3:14" x14ac:dyDescent="0.3">
      <c r="C66" s="48">
        <f t="shared" si="2"/>
        <v>260.42</v>
      </c>
      <c r="G66" s="86">
        <v>14100</v>
      </c>
      <c r="H66" s="87">
        <v>260.14</v>
      </c>
      <c r="I66" s="88">
        <v>277</v>
      </c>
      <c r="K66" s="108"/>
      <c r="L66" s="110">
        <v>1200</v>
      </c>
      <c r="M66" s="111">
        <f t="shared" si="3"/>
        <v>179.1044776119403</v>
      </c>
      <c r="N66" s="120">
        <v>289.60000000000002</v>
      </c>
    </row>
    <row r="67" spans="3:14" x14ac:dyDescent="0.3">
      <c r="C67" s="48">
        <f t="shared" ref="C67:C90" si="4">IF(Take_Off_Wt.&lt;G67,H67,C68)</f>
        <v>260.42</v>
      </c>
      <c r="G67" s="86">
        <v>14200</v>
      </c>
      <c r="H67" s="87">
        <v>260.27999999999997</v>
      </c>
      <c r="I67" s="88">
        <v>277</v>
      </c>
      <c r="K67" s="108"/>
      <c r="L67" s="110">
        <v>1300</v>
      </c>
      <c r="M67" s="111">
        <f t="shared" si="3"/>
        <v>194.02985074626866</v>
      </c>
      <c r="N67" s="120">
        <f>AVERAGE(N66,N68)</f>
        <v>289.14999999999998</v>
      </c>
    </row>
    <row r="68" spans="3:14" x14ac:dyDescent="0.3">
      <c r="C68" s="48">
        <f t="shared" si="4"/>
        <v>260.42</v>
      </c>
      <c r="G68" s="86">
        <v>14300</v>
      </c>
      <c r="H68" s="87">
        <v>260.42</v>
      </c>
      <c r="I68" s="88">
        <v>277</v>
      </c>
      <c r="K68" s="108"/>
      <c r="L68" s="110">
        <v>1400</v>
      </c>
      <c r="M68" s="111">
        <f t="shared" si="3"/>
        <v>208.955223880597</v>
      </c>
      <c r="N68" s="120">
        <v>288.7</v>
      </c>
    </row>
    <row r="69" spans="3:14" x14ac:dyDescent="0.3">
      <c r="C69" s="48">
        <f t="shared" si="4"/>
        <v>260.56</v>
      </c>
      <c r="G69" s="86">
        <v>14400</v>
      </c>
      <c r="H69" s="87">
        <v>260.56</v>
      </c>
      <c r="I69" s="88">
        <v>277</v>
      </c>
      <c r="K69" s="108"/>
      <c r="L69" s="110">
        <v>1500</v>
      </c>
      <c r="M69" s="111">
        <f t="shared" si="3"/>
        <v>223.88059701492537</v>
      </c>
      <c r="N69" s="120">
        <f>AVERAGE(N68,N70)</f>
        <v>288.25</v>
      </c>
    </row>
    <row r="70" spans="3:14" x14ac:dyDescent="0.3">
      <c r="C70" s="48">
        <f t="shared" si="4"/>
        <v>260.7</v>
      </c>
      <c r="G70" s="86">
        <v>14500</v>
      </c>
      <c r="H70" s="87">
        <v>260.7</v>
      </c>
      <c r="I70" s="88">
        <v>277</v>
      </c>
      <c r="K70" s="108"/>
      <c r="L70" s="110">
        <v>1600</v>
      </c>
      <c r="M70" s="111">
        <f t="shared" si="3"/>
        <v>238.80597014925374</v>
      </c>
      <c r="N70" s="120">
        <v>287.8</v>
      </c>
    </row>
    <row r="71" spans="3:14" x14ac:dyDescent="0.3">
      <c r="C71" s="48">
        <f t="shared" si="4"/>
        <v>260.77999999999997</v>
      </c>
      <c r="G71" s="93">
        <v>14600</v>
      </c>
      <c r="H71" s="94">
        <v>260.77999999999997</v>
      </c>
      <c r="I71" s="95">
        <v>277</v>
      </c>
      <c r="K71" s="108"/>
      <c r="L71" s="110">
        <v>1700</v>
      </c>
      <c r="M71" s="111">
        <f t="shared" si="3"/>
        <v>253.73134328358208</v>
      </c>
      <c r="N71" s="120">
        <f>AVERAGE(N70,N72)</f>
        <v>287.39999999999998</v>
      </c>
    </row>
    <row r="72" spans="3:14" x14ac:dyDescent="0.3">
      <c r="C72" s="48">
        <f t="shared" si="4"/>
        <v>260.86</v>
      </c>
      <c r="G72" s="93">
        <v>14700</v>
      </c>
      <c r="H72" s="94">
        <v>260.86</v>
      </c>
      <c r="I72" s="95">
        <v>277</v>
      </c>
      <c r="K72" s="108"/>
      <c r="L72" s="110">
        <v>1800</v>
      </c>
      <c r="M72" s="111">
        <f t="shared" si="3"/>
        <v>268.65671641791045</v>
      </c>
      <c r="N72" s="120">
        <v>287</v>
      </c>
    </row>
    <row r="73" spans="3:14" x14ac:dyDescent="0.3">
      <c r="C73" s="48">
        <f t="shared" si="4"/>
        <v>260.94</v>
      </c>
      <c r="G73" s="93">
        <v>14800</v>
      </c>
      <c r="H73" s="94">
        <v>260.94</v>
      </c>
      <c r="I73" s="95">
        <v>277</v>
      </c>
      <c r="K73" s="108"/>
      <c r="L73" s="110">
        <v>1900</v>
      </c>
      <c r="M73" s="111">
        <f t="shared" si="3"/>
        <v>283.58208955223881</v>
      </c>
      <c r="N73" s="120">
        <f>AVERAGE(N72,N74)</f>
        <v>286.64999999999998</v>
      </c>
    </row>
    <row r="74" spans="3:14" x14ac:dyDescent="0.3">
      <c r="C74" s="48">
        <f t="shared" si="4"/>
        <v>261.02</v>
      </c>
      <c r="G74" s="93">
        <v>14900</v>
      </c>
      <c r="H74" s="94">
        <v>261.02</v>
      </c>
      <c r="I74" s="95">
        <v>277</v>
      </c>
      <c r="K74" s="108"/>
      <c r="L74" s="110">
        <v>2000</v>
      </c>
      <c r="M74" s="111">
        <f t="shared" si="3"/>
        <v>298.50746268656718</v>
      </c>
      <c r="N74" s="120">
        <v>286.3</v>
      </c>
    </row>
    <row r="75" spans="3:14" x14ac:dyDescent="0.3">
      <c r="C75" s="48">
        <f t="shared" si="4"/>
        <v>261.10000000000002</v>
      </c>
      <c r="G75" s="93">
        <v>15000</v>
      </c>
      <c r="H75" s="94">
        <v>261.10000000000002</v>
      </c>
      <c r="I75" s="95">
        <v>277</v>
      </c>
      <c r="K75" s="108"/>
      <c r="L75" s="110">
        <v>2100</v>
      </c>
      <c r="M75" s="111">
        <f t="shared" si="3"/>
        <v>313.43283582089549</v>
      </c>
      <c r="N75" s="120">
        <f>AVERAGE(N74,N76)</f>
        <v>285.95000000000005</v>
      </c>
    </row>
    <row r="76" spans="3:14" x14ac:dyDescent="0.3">
      <c r="C76" s="48">
        <f t="shared" si="4"/>
        <v>261.18</v>
      </c>
      <c r="G76" s="93">
        <v>15100</v>
      </c>
      <c r="H76" s="94">
        <v>261.18</v>
      </c>
      <c r="I76" s="95">
        <v>277</v>
      </c>
      <c r="K76" s="108"/>
      <c r="L76" s="110">
        <v>2200</v>
      </c>
      <c r="M76" s="111">
        <f t="shared" si="3"/>
        <v>328.35820895522386</v>
      </c>
      <c r="N76" s="120">
        <v>285.60000000000002</v>
      </c>
    </row>
    <row r="77" spans="3:14" x14ac:dyDescent="0.3">
      <c r="C77" s="48">
        <f t="shared" si="4"/>
        <v>261.26</v>
      </c>
      <c r="G77" s="93">
        <v>15200</v>
      </c>
      <c r="H77" s="94">
        <v>261.26</v>
      </c>
      <c r="I77" s="95">
        <v>277</v>
      </c>
      <c r="K77" s="108"/>
      <c r="L77" s="110">
        <v>2300</v>
      </c>
      <c r="M77" s="111">
        <f t="shared" si="3"/>
        <v>343.28358208955223</v>
      </c>
      <c r="N77" s="120">
        <f>AVERAGE(N76,N78)</f>
        <v>285.3</v>
      </c>
    </row>
    <row r="78" spans="3:14" x14ac:dyDescent="0.3">
      <c r="C78" s="48">
        <f t="shared" si="4"/>
        <v>261.33999999999997</v>
      </c>
      <c r="G78" s="93">
        <v>15300</v>
      </c>
      <c r="H78" s="94">
        <v>261.33999999999997</v>
      </c>
      <c r="I78" s="95">
        <v>277</v>
      </c>
      <c r="K78" s="108"/>
      <c r="L78" s="110">
        <v>2400</v>
      </c>
      <c r="M78" s="111">
        <f t="shared" si="3"/>
        <v>358.20895522388059</v>
      </c>
      <c r="N78" s="120">
        <v>285</v>
      </c>
    </row>
    <row r="79" spans="3:14" x14ac:dyDescent="0.3">
      <c r="C79" s="48">
        <f t="shared" si="4"/>
        <v>261.42</v>
      </c>
      <c r="G79" s="93">
        <v>15400</v>
      </c>
      <c r="H79" s="94">
        <v>261.42</v>
      </c>
      <c r="I79" s="95">
        <v>277</v>
      </c>
      <c r="K79" s="108"/>
      <c r="L79" s="110">
        <v>2500</v>
      </c>
      <c r="M79" s="111">
        <f t="shared" si="3"/>
        <v>373.13432835820896</v>
      </c>
      <c r="N79" s="120">
        <f>AVERAGE(N78,N80)</f>
        <v>284.7</v>
      </c>
    </row>
    <row r="80" spans="3:14" x14ac:dyDescent="0.3">
      <c r="C80" s="48">
        <f t="shared" si="4"/>
        <v>261.5</v>
      </c>
      <c r="G80" s="93">
        <v>15500</v>
      </c>
      <c r="H80" s="94">
        <v>261.5</v>
      </c>
      <c r="I80" s="95">
        <v>277</v>
      </c>
      <c r="K80" s="108"/>
      <c r="L80" s="110">
        <v>2600</v>
      </c>
      <c r="M80" s="111">
        <f t="shared" si="3"/>
        <v>388.05970149253733</v>
      </c>
      <c r="N80" s="120">
        <v>284.39999999999998</v>
      </c>
    </row>
    <row r="81" spans="3:14" x14ac:dyDescent="0.3">
      <c r="C81" s="48">
        <f t="shared" si="4"/>
        <v>261.58</v>
      </c>
      <c r="G81" s="93">
        <v>15600</v>
      </c>
      <c r="H81" s="94">
        <v>261.58</v>
      </c>
      <c r="I81" s="95">
        <v>277</v>
      </c>
      <c r="K81" s="108"/>
      <c r="L81" s="110">
        <v>2700</v>
      </c>
      <c r="M81" s="111">
        <f t="shared" si="3"/>
        <v>402.98507462686564</v>
      </c>
      <c r="N81" s="120">
        <f>AVERAGE(N80,N82)</f>
        <v>284.14999999999998</v>
      </c>
    </row>
    <row r="82" spans="3:14" x14ac:dyDescent="0.3">
      <c r="C82" s="48">
        <f t="shared" si="4"/>
        <v>261.66000000000003</v>
      </c>
      <c r="G82" s="93">
        <v>15700</v>
      </c>
      <c r="H82" s="94">
        <v>261.66000000000003</v>
      </c>
      <c r="I82" s="95">
        <v>277</v>
      </c>
      <c r="K82" s="108"/>
      <c r="L82" s="110">
        <v>2800</v>
      </c>
      <c r="M82" s="111">
        <f t="shared" si="3"/>
        <v>417.91044776119401</v>
      </c>
      <c r="N82" s="120">
        <v>283.89999999999998</v>
      </c>
    </row>
    <row r="83" spans="3:14" x14ac:dyDescent="0.3">
      <c r="C83" s="48">
        <f t="shared" si="4"/>
        <v>261.74</v>
      </c>
      <c r="G83" s="93">
        <v>15800</v>
      </c>
      <c r="H83" s="94">
        <v>261.74</v>
      </c>
      <c r="I83" s="95">
        <v>277</v>
      </c>
      <c r="K83" s="108"/>
      <c r="L83" s="110">
        <v>2900</v>
      </c>
      <c r="M83" s="111">
        <f t="shared" si="3"/>
        <v>432.83582089552237</v>
      </c>
      <c r="N83" s="120">
        <f>AVERAGE(N82,N84)</f>
        <v>283.7</v>
      </c>
    </row>
    <row r="84" spans="3:14" x14ac:dyDescent="0.3">
      <c r="C84" s="48">
        <f t="shared" si="4"/>
        <v>261.82</v>
      </c>
      <c r="G84" s="93">
        <v>15900</v>
      </c>
      <c r="H84" s="94">
        <v>261.82</v>
      </c>
      <c r="I84" s="95">
        <v>277</v>
      </c>
      <c r="K84" s="108"/>
      <c r="L84" s="110">
        <v>3000</v>
      </c>
      <c r="M84" s="111">
        <f t="shared" si="3"/>
        <v>447.76119402985074</v>
      </c>
      <c r="N84" s="120">
        <v>283.5</v>
      </c>
    </row>
    <row r="85" spans="3:14" x14ac:dyDescent="0.3">
      <c r="C85" s="48">
        <f t="shared" si="4"/>
        <v>261.89999999999998</v>
      </c>
      <c r="G85" s="93">
        <v>16000</v>
      </c>
      <c r="H85" s="94">
        <v>261.89999999999998</v>
      </c>
      <c r="I85" s="95">
        <v>277</v>
      </c>
      <c r="K85" s="108"/>
      <c r="L85" s="110">
        <v>3100</v>
      </c>
      <c r="M85" s="111">
        <f t="shared" si="3"/>
        <v>462.68656716417911</v>
      </c>
      <c r="N85" s="120">
        <f>AVERAGE(N84,N86)</f>
        <v>283.25</v>
      </c>
    </row>
    <row r="86" spans="3:14" x14ac:dyDescent="0.3">
      <c r="C86" s="48">
        <f t="shared" si="4"/>
        <v>261.98</v>
      </c>
      <c r="G86" s="93">
        <v>16100</v>
      </c>
      <c r="H86" s="94">
        <v>261.98</v>
      </c>
      <c r="I86" s="95">
        <v>277</v>
      </c>
      <c r="K86" s="108"/>
      <c r="L86" s="110">
        <v>3200</v>
      </c>
      <c r="M86" s="111">
        <f t="shared" si="3"/>
        <v>477.61194029850748</v>
      </c>
      <c r="N86" s="120">
        <v>283</v>
      </c>
    </row>
    <row r="87" spans="3:14" x14ac:dyDescent="0.3">
      <c r="C87" s="48">
        <f t="shared" si="4"/>
        <v>262.06</v>
      </c>
      <c r="G87" s="93">
        <v>16200</v>
      </c>
      <c r="H87" s="94">
        <v>262.06</v>
      </c>
      <c r="I87" s="95">
        <v>277</v>
      </c>
      <c r="K87" s="108"/>
      <c r="L87" s="110">
        <v>3300</v>
      </c>
      <c r="M87" s="111">
        <f t="shared" si="3"/>
        <v>492.53731343283579</v>
      </c>
      <c r="N87" s="120">
        <f>AVERAGE(N86,N88)</f>
        <v>282.8</v>
      </c>
    </row>
    <row r="88" spans="3:14" x14ac:dyDescent="0.3">
      <c r="C88" s="48">
        <f t="shared" si="4"/>
        <v>262.14</v>
      </c>
      <c r="G88" s="93">
        <v>16300</v>
      </c>
      <c r="H88" s="94">
        <v>262.14</v>
      </c>
      <c r="I88" s="95">
        <v>277</v>
      </c>
      <c r="K88" s="108"/>
      <c r="L88" s="110">
        <v>3400</v>
      </c>
      <c r="M88" s="111">
        <f t="shared" si="3"/>
        <v>507.46268656716416</v>
      </c>
      <c r="N88" s="120">
        <v>282.60000000000002</v>
      </c>
    </row>
    <row r="89" spans="3:14" x14ac:dyDescent="0.3">
      <c r="C89" s="48">
        <f t="shared" si="4"/>
        <v>262.22000000000003</v>
      </c>
      <c r="G89" s="93">
        <v>16400</v>
      </c>
      <c r="H89" s="94">
        <v>262.22000000000003</v>
      </c>
      <c r="I89" s="95">
        <v>277</v>
      </c>
      <c r="K89" s="108"/>
      <c r="L89" s="110">
        <v>3500</v>
      </c>
      <c r="M89" s="111">
        <f t="shared" si="3"/>
        <v>522.38805970149258</v>
      </c>
      <c r="N89" s="120">
        <f>AVERAGE(N88,N90)</f>
        <v>282.45000000000005</v>
      </c>
    </row>
    <row r="90" spans="3:14" x14ac:dyDescent="0.3">
      <c r="C90" s="48">
        <f t="shared" si="4"/>
        <v>262.3</v>
      </c>
      <c r="G90" s="93">
        <v>16500</v>
      </c>
      <c r="H90" s="94">
        <v>262.3</v>
      </c>
      <c r="I90" s="95">
        <v>277</v>
      </c>
      <c r="K90" s="108"/>
      <c r="L90" s="110">
        <v>3600</v>
      </c>
      <c r="M90" s="111">
        <f t="shared" si="3"/>
        <v>537.31343283582089</v>
      </c>
      <c r="N90" s="120">
        <v>282.3</v>
      </c>
    </row>
    <row r="91" spans="3:14" x14ac:dyDescent="0.3">
      <c r="K91" s="108"/>
      <c r="L91" s="110">
        <v>3700</v>
      </c>
      <c r="M91" s="111">
        <f t="shared" si="3"/>
        <v>552.2388059701492</v>
      </c>
      <c r="N91" s="120">
        <f>AVERAGE(N90,N92)</f>
        <v>282.14999999999998</v>
      </c>
    </row>
    <row r="92" spans="3:14" x14ac:dyDescent="0.3">
      <c r="K92" s="108"/>
      <c r="L92" s="110">
        <v>3800</v>
      </c>
      <c r="M92" s="111">
        <f t="shared" si="3"/>
        <v>567.16417910447763</v>
      </c>
      <c r="N92" s="120">
        <v>282</v>
      </c>
    </row>
    <row r="93" spans="3:14" x14ac:dyDescent="0.3">
      <c r="K93" s="108"/>
      <c r="L93" s="110">
        <v>3900</v>
      </c>
      <c r="M93" s="111">
        <f t="shared" si="3"/>
        <v>582.08955223880594</v>
      </c>
      <c r="N93" s="120">
        <f>AVERAGE(N92,N94)</f>
        <v>281.85000000000002</v>
      </c>
    </row>
    <row r="94" spans="3:14" x14ac:dyDescent="0.3">
      <c r="K94" s="108"/>
      <c r="L94" s="110">
        <v>4000</v>
      </c>
      <c r="M94" s="111">
        <f t="shared" si="3"/>
        <v>597.01492537313436</v>
      </c>
      <c r="N94" s="120">
        <v>281.7</v>
      </c>
    </row>
    <row r="95" spans="3:14" x14ac:dyDescent="0.3">
      <c r="K95" s="108"/>
      <c r="L95" s="110">
        <v>4100</v>
      </c>
      <c r="M95" s="111">
        <f t="shared" si="3"/>
        <v>611.94029850746267</v>
      </c>
      <c r="N95" s="120">
        <f>AVERAGE(N94,N96)</f>
        <v>281.54999999999995</v>
      </c>
    </row>
    <row r="96" spans="3:14" x14ac:dyDescent="0.3">
      <c r="K96" s="108"/>
      <c r="L96" s="110">
        <v>4200</v>
      </c>
      <c r="M96" s="111">
        <f t="shared" si="3"/>
        <v>626.86567164179098</v>
      </c>
      <c r="N96" s="120">
        <v>281.39999999999998</v>
      </c>
    </row>
    <row r="97" spans="11:14" x14ac:dyDescent="0.3">
      <c r="K97" s="108"/>
      <c r="L97" s="110">
        <v>4342</v>
      </c>
      <c r="M97" s="112">
        <f t="shared" si="3"/>
        <v>648.05970149253733</v>
      </c>
      <c r="N97" s="120">
        <v>281.3</v>
      </c>
    </row>
    <row r="98" spans="11:14" x14ac:dyDescent="0.3">
      <c r="K98" s="113" t="s">
        <v>71</v>
      </c>
      <c r="L98" s="114">
        <v>4400</v>
      </c>
      <c r="M98" s="115">
        <f>L98/6.8</f>
        <v>647.05882352941182</v>
      </c>
      <c r="N98" s="121">
        <v>281.3</v>
      </c>
    </row>
    <row r="99" spans="11:14" x14ac:dyDescent="0.3">
      <c r="K99" s="113" t="s">
        <v>72</v>
      </c>
      <c r="L99" s="110">
        <v>4600</v>
      </c>
      <c r="M99" s="112">
        <f>L99/7.1</f>
        <v>647.88732394366195</v>
      </c>
      <c r="N99" s="120">
        <v>281.3</v>
      </c>
    </row>
  </sheetData>
  <sheetProtection sheet="1" objects="1" scenarios="1"/>
  <mergeCells count="6">
    <mergeCell ref="E29:G29"/>
    <mergeCell ref="B25:G25"/>
    <mergeCell ref="B6:C7"/>
    <mergeCell ref="E26:G26"/>
    <mergeCell ref="E27:G27"/>
    <mergeCell ref="E28:G28"/>
  </mergeCells>
  <phoneticPr fontId="33" type="noConversion"/>
  <printOptions gridLines="1"/>
  <pageMargins left="0.75" right="0.75" top="1" bottom="1" header="0.5" footer="0.5"/>
  <pageSetup orientation="landscape" horizontalDpi="4294967293" verticalDpi="4294967293" r:id="rId1"/>
  <headerFooter alignWithMargins="0"/>
  <ignoredErrors>
    <ignoredError sqref="G11 G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99"/>
  <sheetViews>
    <sheetView showGridLines="0" workbookViewId="0">
      <selection activeCell="M23" sqref="M23"/>
    </sheetView>
  </sheetViews>
  <sheetFormatPr defaultColWidth="10" defaultRowHeight="15" x14ac:dyDescent="0.3"/>
  <cols>
    <col min="1" max="1" width="2.42578125" style="1" customWidth="1"/>
    <col min="2" max="2" width="10.42578125" style="1" customWidth="1"/>
    <col min="3" max="3" width="7.85546875" style="1" customWidth="1"/>
    <col min="4" max="4" width="15.140625" style="1" customWidth="1"/>
    <col min="5" max="5" width="2.42578125" style="1" customWidth="1"/>
    <col min="6" max="6" width="19.28515625" style="1" customWidth="1"/>
    <col min="7" max="7" width="12.28515625" style="1" customWidth="1"/>
    <col min="8" max="8" width="19" style="1" customWidth="1"/>
    <col min="9" max="9" width="11.42578125" style="1" customWidth="1"/>
    <col min="10" max="10" width="7.85546875" style="1" customWidth="1"/>
    <col min="11" max="11" width="7.42578125" style="1" customWidth="1"/>
    <col min="12" max="12" width="7.7109375" style="1" customWidth="1"/>
    <col min="13" max="13" width="10.140625" style="1" customWidth="1"/>
    <col min="14" max="14" width="24.7109375" style="1" customWidth="1"/>
    <col min="15" max="15" width="11.7109375" style="1" customWidth="1"/>
    <col min="16" max="16" width="14.7109375" style="1" customWidth="1"/>
    <col min="17" max="17" width="14.42578125" style="1" customWidth="1"/>
    <col min="18" max="18" width="8" style="1" customWidth="1"/>
    <col min="19" max="19" width="1.7109375" style="1" customWidth="1"/>
    <col min="20" max="20" width="31.5703125" style="1" bestFit="1" customWidth="1"/>
    <col min="21" max="16384" width="10" style="1"/>
  </cols>
  <sheetData>
    <row r="1" spans="2:21" ht="6.75" customHeight="1" x14ac:dyDescent="0.3"/>
    <row r="2" spans="2:21" ht="23.25" customHeight="1" x14ac:dyDescent="0.5">
      <c r="F2" s="2" t="s">
        <v>76</v>
      </c>
    </row>
    <row r="3" spans="2:21" ht="6.75" customHeight="1" x14ac:dyDescent="0.4">
      <c r="F3" s="3"/>
      <c r="G3" s="4"/>
      <c r="H3" s="5"/>
      <c r="I3" s="6"/>
      <c r="J3" s="6"/>
    </row>
    <row r="4" spans="2:21" ht="20.25" customHeight="1" x14ac:dyDescent="0.35">
      <c r="F4" s="7" t="s">
        <v>0</v>
      </c>
      <c r="G4" s="8">
        <v>420</v>
      </c>
      <c r="H4" s="9" t="s">
        <v>1</v>
      </c>
      <c r="I4" s="10">
        <v>130</v>
      </c>
      <c r="J4" s="11" t="s">
        <v>2</v>
      </c>
      <c r="R4" s="12" t="s">
        <v>3</v>
      </c>
      <c r="S4" s="13"/>
      <c r="T4" s="13"/>
    </row>
    <row r="5" spans="2:21" ht="15" customHeight="1" x14ac:dyDescent="0.35">
      <c r="F5" s="7" t="s">
        <v>4</v>
      </c>
      <c r="G5" s="8">
        <v>0</v>
      </c>
      <c r="H5" s="14" t="s">
        <v>5</v>
      </c>
      <c r="I5" s="10">
        <v>2</v>
      </c>
      <c r="J5" s="15"/>
      <c r="L5" s="16"/>
      <c r="Q5" s="17"/>
      <c r="R5" s="18" t="s">
        <v>6</v>
      </c>
      <c r="S5" s="17"/>
      <c r="T5" s="19">
        <v>45260</v>
      </c>
    </row>
    <row r="6" spans="2:21" ht="15" customHeight="1" x14ac:dyDescent="0.35">
      <c r="B6" s="197"/>
      <c r="C6" s="198"/>
      <c r="F6" s="7" t="s">
        <v>7</v>
      </c>
      <c r="G6" s="165">
        <v>0</v>
      </c>
      <c r="H6" s="20" t="s">
        <v>8</v>
      </c>
      <c r="I6" s="21" t="s">
        <v>3</v>
      </c>
      <c r="J6" s="22"/>
      <c r="Q6" s="23"/>
      <c r="R6" s="24" t="s">
        <v>9</v>
      </c>
      <c r="S6" s="17"/>
      <c r="T6" s="25">
        <v>14500</v>
      </c>
    </row>
    <row r="7" spans="2:21" ht="15" customHeight="1" x14ac:dyDescent="0.35">
      <c r="B7" s="198"/>
      <c r="C7" s="198"/>
      <c r="D7" s="23" t="s">
        <v>10</v>
      </c>
      <c r="F7" s="7" t="s">
        <v>11</v>
      </c>
      <c r="G7" s="165">
        <v>0</v>
      </c>
      <c r="H7" s="20" t="s">
        <v>12</v>
      </c>
      <c r="I7" s="21" t="s">
        <v>82</v>
      </c>
      <c r="J7" s="22"/>
      <c r="Q7" s="23"/>
      <c r="R7" s="24" t="s">
        <v>99</v>
      </c>
      <c r="S7" s="17"/>
      <c r="T7" s="25">
        <v>8930</v>
      </c>
    </row>
    <row r="8" spans="2:21" ht="15" customHeight="1" x14ac:dyDescent="0.35">
      <c r="D8" s="23" t="s">
        <v>13</v>
      </c>
      <c r="F8" s="7" t="s">
        <v>14</v>
      </c>
      <c r="G8" s="165">
        <v>0</v>
      </c>
      <c r="H8" s="20" t="s">
        <v>15</v>
      </c>
      <c r="I8" s="136">
        <v>2</v>
      </c>
      <c r="J8" s="26"/>
      <c r="K8" s="27" t="s">
        <v>16</v>
      </c>
      <c r="Q8" s="23"/>
      <c r="R8" s="24" t="s">
        <v>100</v>
      </c>
      <c r="S8" s="17"/>
      <c r="T8" s="28">
        <v>255.91399999999999</v>
      </c>
    </row>
    <row r="9" spans="2:21" ht="15" customHeight="1" x14ac:dyDescent="0.35">
      <c r="D9" s="137" t="s">
        <v>17</v>
      </c>
      <c r="F9" s="7" t="s">
        <v>18</v>
      </c>
      <c r="G9" s="165">
        <v>0</v>
      </c>
      <c r="H9" s="20" t="s">
        <v>19</v>
      </c>
      <c r="I9" s="140">
        <f>VLOOKUP(I8,B26:D31,2,TRUE)</f>
        <v>8930</v>
      </c>
      <c r="J9" s="29"/>
      <c r="Q9" s="23"/>
      <c r="R9" s="24" t="s">
        <v>101</v>
      </c>
      <c r="S9" s="17"/>
      <c r="T9" s="28">
        <f>T7*T8</f>
        <v>2285312.02</v>
      </c>
    </row>
    <row r="10" spans="2:21" ht="15" customHeight="1" x14ac:dyDescent="0.35">
      <c r="F10" s="7" t="s">
        <v>94</v>
      </c>
      <c r="G10" s="167"/>
      <c r="H10" s="30" t="s">
        <v>21</v>
      </c>
      <c r="I10" s="141">
        <f>G4</f>
        <v>420</v>
      </c>
      <c r="J10" s="29"/>
      <c r="Q10" s="17"/>
      <c r="R10" s="15" t="s">
        <v>22</v>
      </c>
      <c r="S10" s="17"/>
      <c r="T10" s="25">
        <v>13130</v>
      </c>
    </row>
    <row r="11" spans="2:21" ht="15" customHeight="1" x14ac:dyDescent="0.35">
      <c r="F11" s="7" t="s">
        <v>90</v>
      </c>
      <c r="G11" s="168">
        <v>425.8</v>
      </c>
      <c r="H11" s="20" t="s">
        <v>24</v>
      </c>
      <c r="I11" s="140">
        <f>I9+I10+G15</f>
        <v>9350</v>
      </c>
      <c r="J11" s="29"/>
      <c r="K11" s="31" t="s">
        <v>25</v>
      </c>
      <c r="L11" s="32"/>
      <c r="Q11" s="17"/>
      <c r="R11" s="18" t="s">
        <v>27</v>
      </c>
      <c r="S11" s="17"/>
      <c r="T11" s="25">
        <v>14000</v>
      </c>
    </row>
    <row r="12" spans="2:21" ht="15" customHeight="1" x14ac:dyDescent="0.35">
      <c r="D12" s="166"/>
      <c r="F12" s="7" t="s">
        <v>91</v>
      </c>
      <c r="G12" s="168">
        <v>1086</v>
      </c>
      <c r="H12" s="33" t="s">
        <v>30</v>
      </c>
      <c r="I12" s="97">
        <f>SUM(G5:G14)</f>
        <v>2904.6000000000004</v>
      </c>
      <c r="J12" s="34"/>
      <c r="K12" s="35">
        <f>I15-I16</f>
        <v>219.40000000000146</v>
      </c>
      <c r="L12" s="36"/>
      <c r="Q12" s="23"/>
      <c r="R12" s="24" t="s">
        <v>32</v>
      </c>
      <c r="S12" s="17"/>
      <c r="T12" s="37">
        <v>13.1</v>
      </c>
    </row>
    <row r="13" spans="2:21" ht="15" customHeight="1" x14ac:dyDescent="0.35">
      <c r="F13" s="7" t="s">
        <v>92</v>
      </c>
      <c r="G13" s="168">
        <v>1221</v>
      </c>
      <c r="H13" s="38" t="s">
        <v>34</v>
      </c>
      <c r="I13" s="140">
        <f>I11+I12</f>
        <v>12254.6</v>
      </c>
      <c r="J13" s="39"/>
      <c r="K13" s="40" t="str">
        <f>IF(I13-1&lt;13130,"ZFW OK","BAD ZFW")</f>
        <v>ZFW OK</v>
      </c>
      <c r="L13" s="41"/>
    </row>
    <row r="14" spans="2:21" ht="15" customHeight="1" x14ac:dyDescent="0.35">
      <c r="D14" s="163" t="s">
        <v>83</v>
      </c>
      <c r="F14" s="7" t="s">
        <v>93</v>
      </c>
      <c r="G14" s="169">
        <v>171.8</v>
      </c>
      <c r="H14" s="42" t="s">
        <v>36</v>
      </c>
      <c r="I14" s="140">
        <f>G16</f>
        <v>2000</v>
      </c>
      <c r="J14" s="29"/>
    </row>
    <row r="15" spans="2:21" ht="15" customHeight="1" x14ac:dyDescent="0.35">
      <c r="D15" s="164">
        <v>45260</v>
      </c>
      <c r="F15" s="53" t="s">
        <v>37</v>
      </c>
      <c r="G15" s="170">
        <v>0</v>
      </c>
      <c r="H15" s="43" t="s">
        <v>38</v>
      </c>
      <c r="I15" s="98">
        <v>14500</v>
      </c>
      <c r="J15" s="44"/>
      <c r="K15" s="45"/>
      <c r="L15" s="46"/>
      <c r="R15" s="65" t="s">
        <v>26</v>
      </c>
      <c r="T15" s="48"/>
      <c r="U15" s="48"/>
    </row>
    <row r="16" spans="2:21" ht="15" customHeight="1" x14ac:dyDescent="0.35">
      <c r="D16" s="163" t="s">
        <v>84</v>
      </c>
      <c r="F16" s="20" t="s">
        <v>74</v>
      </c>
      <c r="G16" s="171">
        <v>2000</v>
      </c>
      <c r="H16" s="43" t="s">
        <v>39</v>
      </c>
      <c r="I16" s="98">
        <f>O43</f>
        <v>14280.599999999999</v>
      </c>
      <c r="J16" s="44"/>
      <c r="K16" s="49" t="str">
        <f>IF(I16-1&lt;14500,"T.O. Wt OK",M52)</f>
        <v>T.O. Wt OK</v>
      </c>
      <c r="L16" s="50"/>
      <c r="R16" s="65" t="s">
        <v>31</v>
      </c>
      <c r="T16" s="48"/>
      <c r="U16" s="48"/>
    </row>
    <row r="17" spans="2:21" ht="13.5" customHeight="1" x14ac:dyDescent="0.35">
      <c r="D17" s="185" t="s">
        <v>102</v>
      </c>
      <c r="F17" s="20" t="s">
        <v>40</v>
      </c>
      <c r="G17" s="139">
        <f>G16/6.7</f>
        <v>298.50746268656718</v>
      </c>
      <c r="H17" s="43" t="s">
        <v>41</v>
      </c>
      <c r="I17" s="102">
        <f>IF(I16&lt;5201,D35,C35)</f>
        <v>260.42</v>
      </c>
      <c r="J17" s="103">
        <v>-277</v>
      </c>
      <c r="K17" s="46"/>
      <c r="L17" s="46"/>
      <c r="R17" s="47"/>
      <c r="T17" s="48"/>
      <c r="U17" s="48"/>
    </row>
    <row r="18" spans="2:21" ht="15" customHeight="1" x14ac:dyDescent="0.35">
      <c r="F18" s="64" t="s">
        <v>42</v>
      </c>
      <c r="G18" s="65"/>
      <c r="H18" s="43" t="s">
        <v>43</v>
      </c>
      <c r="I18" s="99">
        <f>P43</f>
        <v>266.73818467011193</v>
      </c>
      <c r="J18" s="51"/>
      <c r="K18" s="49" t="str">
        <f>IF(Take_Off_C.G.&lt;277,D54,"Bad CG")</f>
        <v>OK CG</v>
      </c>
      <c r="L18" s="50"/>
      <c r="R18" s="47"/>
      <c r="T18" s="48"/>
      <c r="U18" s="48"/>
    </row>
    <row r="19" spans="2:21" ht="15" customHeight="1" x14ac:dyDescent="0.35">
      <c r="F19" s="64"/>
      <c r="G19" s="65"/>
      <c r="H19" s="126" t="s">
        <v>44</v>
      </c>
      <c r="I19" s="104">
        <f>IF(Take_Off_Wt.&gt;Max_Ld_Wt.,H29,"No Limit")</f>
        <v>31.177777777777617</v>
      </c>
      <c r="J19" s="96" t="s">
        <v>45</v>
      </c>
      <c r="K19" s="52"/>
      <c r="R19" s="47"/>
      <c r="T19" s="48"/>
      <c r="U19" s="48"/>
    </row>
    <row r="20" spans="2:21" ht="15" customHeight="1" thickBot="1" x14ac:dyDescent="0.35">
      <c r="G20" s="123"/>
      <c r="H20" s="127" t="s">
        <v>46</v>
      </c>
      <c r="I20" s="100">
        <f>G16-((I5*J22)+(I4-(I5*25)+45)*I21)</f>
        <v>415</v>
      </c>
      <c r="J20" s="55" t="s">
        <v>47</v>
      </c>
      <c r="K20" s="56" t="str">
        <f>IF(I20&gt;-1,"Fuel OK","More Fuel")</f>
        <v>Fuel OK</v>
      </c>
      <c r="L20" s="57"/>
      <c r="M20" s="58"/>
      <c r="R20" s="47"/>
      <c r="T20" s="48"/>
      <c r="U20" s="48"/>
    </row>
    <row r="21" spans="2:21" ht="15" customHeight="1" x14ac:dyDescent="0.3">
      <c r="C21" s="142" t="s">
        <v>73</v>
      </c>
      <c r="D21" s="143"/>
      <c r="E21" s="143"/>
      <c r="F21" s="144"/>
      <c r="G21" s="123"/>
      <c r="H21" s="127" t="s">
        <v>48</v>
      </c>
      <c r="I21" s="101">
        <f>540/60</f>
        <v>9</v>
      </c>
      <c r="J21" s="59" t="s">
        <v>49</v>
      </c>
      <c r="K21" s="60">
        <f>(I5*J22)+(I4-(I5*25))*I21</f>
        <v>1180</v>
      </c>
      <c r="L21" s="61" t="s">
        <v>50</v>
      </c>
      <c r="M21" s="62"/>
      <c r="N21" s="184"/>
    </row>
    <row r="22" spans="2:21" ht="15" customHeight="1" thickBot="1" x14ac:dyDescent="0.35">
      <c r="C22" s="145"/>
      <c r="D22" s="146" t="s">
        <v>75</v>
      </c>
      <c r="E22" s="147"/>
      <c r="F22" s="148"/>
      <c r="G22" s="123"/>
      <c r="I22" s="66" t="s">
        <v>51</v>
      </c>
      <c r="J22" s="67">
        <v>230</v>
      </c>
      <c r="L22" s="68"/>
      <c r="M22" s="68"/>
      <c r="N22" s="63"/>
      <c r="O22" s="63"/>
      <c r="P22" s="63"/>
    </row>
    <row r="23" spans="2:21" ht="15" customHeight="1" x14ac:dyDescent="0.3">
      <c r="G23" s="123"/>
      <c r="N23" s="68"/>
      <c r="O23" s="68"/>
      <c r="P23" s="68"/>
    </row>
    <row r="24" spans="2:21" ht="15.75" thickBot="1" x14ac:dyDescent="0.35">
      <c r="G24" s="123"/>
      <c r="H24" s="66"/>
      <c r="I24" s="66"/>
      <c r="J24" s="27"/>
      <c r="L24" s="68"/>
      <c r="M24" s="68"/>
      <c r="N24" s="68"/>
      <c r="O24" s="68"/>
      <c r="P24" s="68"/>
    </row>
    <row r="25" spans="2:21" ht="15.75" thickBot="1" x14ac:dyDescent="0.35">
      <c r="B25" s="189" t="s">
        <v>103</v>
      </c>
      <c r="C25" s="190"/>
      <c r="D25" s="190"/>
      <c r="E25" s="190"/>
      <c r="F25" s="190"/>
      <c r="G25" s="191"/>
    </row>
    <row r="26" spans="2:21" ht="24.75" customHeight="1" x14ac:dyDescent="0.35">
      <c r="B26" s="151">
        <v>1</v>
      </c>
      <c r="C26" s="176">
        <v>8917</v>
      </c>
      <c r="D26" s="177">
        <v>256.06</v>
      </c>
      <c r="E26" s="152" t="s">
        <v>85</v>
      </c>
      <c r="F26" s="153"/>
      <c r="G26" s="154"/>
      <c r="S26" s="69"/>
      <c r="T26" s="69"/>
    </row>
    <row r="27" spans="2:21" ht="16.5" x14ac:dyDescent="0.35">
      <c r="B27" s="155">
        <v>2</v>
      </c>
      <c r="C27" s="179">
        <v>8930</v>
      </c>
      <c r="D27" s="180">
        <v>255.91399999999999</v>
      </c>
      <c r="E27" s="156" t="s">
        <v>86</v>
      </c>
      <c r="F27" s="157"/>
      <c r="G27" s="158"/>
      <c r="N27" s="71" t="s">
        <v>52</v>
      </c>
      <c r="O27" s="72" t="s">
        <v>53</v>
      </c>
      <c r="P27" s="72" t="s">
        <v>54</v>
      </c>
      <c r="Q27" s="70" t="s">
        <v>55</v>
      </c>
      <c r="S27" s="69"/>
      <c r="T27" s="73"/>
    </row>
    <row r="28" spans="2:21" ht="16.5" x14ac:dyDescent="0.35">
      <c r="B28" s="155">
        <v>3</v>
      </c>
      <c r="C28" s="181">
        <v>8829</v>
      </c>
      <c r="D28" s="182">
        <v>255.4</v>
      </c>
      <c r="E28" s="156" t="s">
        <v>87</v>
      </c>
      <c r="F28" s="157"/>
      <c r="G28" s="158"/>
      <c r="H28" s="74" t="s">
        <v>56</v>
      </c>
      <c r="N28" s="75" t="s">
        <v>57</v>
      </c>
      <c r="O28" s="76">
        <f>I9</f>
        <v>8930</v>
      </c>
      <c r="P28" s="128">
        <f>D34</f>
        <v>255.91399999999999</v>
      </c>
      <c r="Q28" s="129">
        <f>D33*D34</f>
        <v>2285312.02</v>
      </c>
      <c r="S28" s="69"/>
      <c r="T28" s="73"/>
    </row>
    <row r="29" spans="2:21" ht="16.5" x14ac:dyDescent="0.35">
      <c r="B29" s="155">
        <v>4</v>
      </c>
      <c r="C29" s="181">
        <v>8829</v>
      </c>
      <c r="D29" s="182">
        <v>256.16000000000003</v>
      </c>
      <c r="E29" s="156" t="s">
        <v>88</v>
      </c>
      <c r="F29" s="157"/>
      <c r="G29" s="158"/>
      <c r="H29" s="77">
        <f>((Take_Off_Wt.-Max_Ld_Wt.)/I21)</f>
        <v>31.177777777777617</v>
      </c>
      <c r="N29" s="75" t="s">
        <v>0</v>
      </c>
      <c r="O29" s="76">
        <f t="shared" ref="O29:O39" si="0">G4</f>
        <v>420</v>
      </c>
      <c r="P29" s="128">
        <v>111</v>
      </c>
      <c r="Q29" s="129">
        <f t="shared" ref="Q29:Q39" si="1">G4*P29</f>
        <v>46620</v>
      </c>
      <c r="S29" s="69"/>
      <c r="T29" s="73"/>
    </row>
    <row r="30" spans="2:21" ht="16.5" x14ac:dyDescent="0.35">
      <c r="B30" s="23"/>
      <c r="C30" s="79"/>
      <c r="D30" s="149"/>
      <c r="E30" s="156"/>
      <c r="F30" s="157"/>
      <c r="G30" s="159"/>
      <c r="H30" s="78"/>
      <c r="N30" s="75" t="s">
        <v>4</v>
      </c>
      <c r="O30" s="76">
        <f t="shared" si="0"/>
        <v>0</v>
      </c>
      <c r="P30" s="128">
        <v>154</v>
      </c>
      <c r="Q30" s="129">
        <f t="shared" si="1"/>
        <v>0</v>
      </c>
      <c r="S30" s="69"/>
      <c r="T30" s="73"/>
    </row>
    <row r="31" spans="2:21" ht="16.5" x14ac:dyDescent="0.35">
      <c r="B31" s="23"/>
      <c r="C31" s="79"/>
      <c r="D31" s="149"/>
      <c r="E31" s="160"/>
      <c r="F31" s="161"/>
      <c r="G31" s="162"/>
      <c r="N31" s="75" t="s">
        <v>7</v>
      </c>
      <c r="O31" s="76">
        <f t="shared" si="0"/>
        <v>0</v>
      </c>
      <c r="P31" s="128">
        <v>184</v>
      </c>
      <c r="Q31" s="129">
        <f t="shared" si="1"/>
        <v>0</v>
      </c>
      <c r="S31" s="69"/>
      <c r="T31" s="73"/>
    </row>
    <row r="32" spans="2:21" x14ac:dyDescent="0.3">
      <c r="D32" s="48"/>
      <c r="N32" s="75" t="s">
        <v>11</v>
      </c>
      <c r="O32" s="76">
        <f t="shared" si="0"/>
        <v>0</v>
      </c>
      <c r="P32" s="128">
        <v>214</v>
      </c>
      <c r="Q32" s="129">
        <f t="shared" si="1"/>
        <v>0</v>
      </c>
      <c r="S32" s="69"/>
      <c r="T32" s="73"/>
    </row>
    <row r="33" spans="3:20" ht="14.25" customHeight="1" x14ac:dyDescent="0.3">
      <c r="C33" s="127" t="s">
        <v>58</v>
      </c>
      <c r="D33" s="79">
        <f>I9</f>
        <v>8930</v>
      </c>
      <c r="G33" s="80" t="s">
        <v>59</v>
      </c>
      <c r="H33" s="80"/>
      <c r="I33" s="80"/>
      <c r="N33" s="75" t="s">
        <v>14</v>
      </c>
      <c r="O33" s="76">
        <f t="shared" si="0"/>
        <v>0</v>
      </c>
      <c r="P33" s="150">
        <v>244</v>
      </c>
      <c r="Q33" s="129">
        <f t="shared" si="1"/>
        <v>0</v>
      </c>
      <c r="S33" s="69"/>
      <c r="T33" s="73"/>
    </row>
    <row r="34" spans="3:20" x14ac:dyDescent="0.3">
      <c r="C34" s="127" t="s">
        <v>60</v>
      </c>
      <c r="D34" s="81">
        <f>VLOOKUP(I8,B26:D31,3,TRUE)</f>
        <v>255.91399999999999</v>
      </c>
      <c r="G34" s="82" t="s">
        <v>61</v>
      </c>
      <c r="H34" s="82" t="s">
        <v>62</v>
      </c>
      <c r="I34" s="82" t="s">
        <v>63</v>
      </c>
      <c r="N34" s="75" t="s">
        <v>18</v>
      </c>
      <c r="O34" s="76">
        <f t="shared" si="0"/>
        <v>0</v>
      </c>
      <c r="P34" s="128">
        <v>275</v>
      </c>
      <c r="Q34" s="129">
        <f t="shared" si="1"/>
        <v>0</v>
      </c>
      <c r="S34" s="69"/>
      <c r="T34" s="73"/>
    </row>
    <row r="35" spans="3:20" x14ac:dyDescent="0.3">
      <c r="C35" s="48">
        <f t="shared" ref="C35:C66" si="2">IF(Take_Off_Wt.&lt;G35,H35,C36)</f>
        <v>260.42</v>
      </c>
      <c r="D35" s="48"/>
      <c r="G35" s="83">
        <v>11000</v>
      </c>
      <c r="H35" s="84">
        <v>257</v>
      </c>
      <c r="I35" s="85">
        <v>277</v>
      </c>
      <c r="N35" s="75" t="s">
        <v>81</v>
      </c>
      <c r="O35" s="76">
        <f t="shared" si="0"/>
        <v>0</v>
      </c>
      <c r="P35" s="128">
        <v>42</v>
      </c>
      <c r="Q35" s="129">
        <f t="shared" si="1"/>
        <v>0</v>
      </c>
      <c r="S35" s="69"/>
      <c r="T35" s="73"/>
    </row>
    <row r="36" spans="3:20" x14ac:dyDescent="0.3">
      <c r="C36" s="48">
        <f t="shared" si="2"/>
        <v>260.42</v>
      </c>
      <c r="D36" s="48"/>
      <c r="G36" s="86">
        <v>11100</v>
      </c>
      <c r="H36" s="87">
        <v>257.10000000000002</v>
      </c>
      <c r="I36" s="88">
        <v>277</v>
      </c>
      <c r="N36" s="75" t="s">
        <v>77</v>
      </c>
      <c r="O36" s="76">
        <f t="shared" si="0"/>
        <v>425.8</v>
      </c>
      <c r="P36" s="128">
        <v>193.5</v>
      </c>
      <c r="Q36" s="129">
        <f t="shared" si="1"/>
        <v>82392.3</v>
      </c>
      <c r="S36" s="69"/>
      <c r="T36" s="73"/>
    </row>
    <row r="37" spans="3:20" x14ac:dyDescent="0.3">
      <c r="C37" s="48">
        <f t="shared" si="2"/>
        <v>260.42</v>
      </c>
      <c r="D37" s="48"/>
      <c r="G37" s="86">
        <v>11200</v>
      </c>
      <c r="H37" s="87">
        <v>257.2</v>
      </c>
      <c r="I37" s="88">
        <v>277</v>
      </c>
      <c r="N37" s="75" t="s">
        <v>78</v>
      </c>
      <c r="O37" s="76">
        <f t="shared" si="0"/>
        <v>1086</v>
      </c>
      <c r="P37" s="128">
        <v>265</v>
      </c>
      <c r="Q37" s="129">
        <f t="shared" si="1"/>
        <v>287790</v>
      </c>
      <c r="S37" s="69"/>
      <c r="T37" s="73"/>
    </row>
    <row r="38" spans="3:20" x14ac:dyDescent="0.3">
      <c r="C38" s="48">
        <f t="shared" si="2"/>
        <v>260.42</v>
      </c>
      <c r="D38" s="48"/>
      <c r="G38" s="86">
        <v>11300</v>
      </c>
      <c r="H38" s="87">
        <v>257.3</v>
      </c>
      <c r="I38" s="88">
        <v>277</v>
      </c>
      <c r="N38" s="75" t="s">
        <v>79</v>
      </c>
      <c r="O38" s="76">
        <f t="shared" si="0"/>
        <v>1221</v>
      </c>
      <c r="P38" s="128">
        <v>370</v>
      </c>
      <c r="Q38" s="129">
        <f t="shared" si="1"/>
        <v>451770</v>
      </c>
      <c r="S38" s="69"/>
      <c r="T38" s="69"/>
    </row>
    <row r="39" spans="3:20" x14ac:dyDescent="0.3">
      <c r="C39" s="48">
        <f t="shared" si="2"/>
        <v>260.42</v>
      </c>
      <c r="D39" s="48"/>
      <c r="G39" s="86">
        <v>11400</v>
      </c>
      <c r="H39" s="87">
        <v>257.39999999999998</v>
      </c>
      <c r="I39" s="88">
        <v>277</v>
      </c>
      <c r="N39" s="75" t="s">
        <v>80</v>
      </c>
      <c r="O39" s="76">
        <f t="shared" si="0"/>
        <v>171.8</v>
      </c>
      <c r="P39" s="128">
        <v>475</v>
      </c>
      <c r="Q39" s="129">
        <f t="shared" si="1"/>
        <v>81605</v>
      </c>
      <c r="S39" s="73"/>
      <c r="T39" s="69"/>
    </row>
    <row r="40" spans="3:20" x14ac:dyDescent="0.3">
      <c r="C40" s="48">
        <f t="shared" si="2"/>
        <v>260.42</v>
      </c>
      <c r="D40" s="48"/>
      <c r="G40" s="86">
        <v>11500</v>
      </c>
      <c r="H40" s="87">
        <v>257.5</v>
      </c>
      <c r="I40" s="88">
        <v>277</v>
      </c>
      <c r="N40" s="75" t="s">
        <v>10</v>
      </c>
      <c r="O40" s="133">
        <v>26</v>
      </c>
      <c r="P40" s="130">
        <f>IF(D9="nose",42,525)</f>
        <v>42</v>
      </c>
      <c r="Q40" s="131">
        <f>O40*P40</f>
        <v>1092</v>
      </c>
      <c r="S40" s="73"/>
      <c r="T40" s="69"/>
    </row>
    <row r="41" spans="3:20" x14ac:dyDescent="0.3">
      <c r="C41" s="48">
        <f t="shared" si="2"/>
        <v>260.42</v>
      </c>
      <c r="D41" s="48"/>
      <c r="G41" s="86">
        <v>11600</v>
      </c>
      <c r="H41" s="87">
        <v>257.60000000000002</v>
      </c>
      <c r="I41" s="88">
        <v>277</v>
      </c>
      <c r="N41" s="75" t="s">
        <v>64</v>
      </c>
      <c r="O41" s="76">
        <f>G15</f>
        <v>0</v>
      </c>
      <c r="P41" s="128">
        <v>21</v>
      </c>
      <c r="Q41" s="129">
        <f>G15*P41</f>
        <v>0</v>
      </c>
      <c r="S41" s="73"/>
      <c r="T41" s="69"/>
    </row>
    <row r="42" spans="3:20" x14ac:dyDescent="0.3">
      <c r="C42" s="48">
        <f t="shared" si="2"/>
        <v>260.42</v>
      </c>
      <c r="D42" s="48"/>
      <c r="G42" s="86">
        <v>11700</v>
      </c>
      <c r="H42" s="87">
        <v>257.7</v>
      </c>
      <c r="I42" s="88">
        <v>277</v>
      </c>
      <c r="N42" s="75" t="s">
        <v>65</v>
      </c>
      <c r="O42" s="76">
        <f>G16</f>
        <v>2000</v>
      </c>
      <c r="P42" s="128">
        <f>VLOOKUP(G16,L55:N97,3)</f>
        <v>286.3</v>
      </c>
      <c r="Q42" s="129">
        <f>G16*P42</f>
        <v>572600</v>
      </c>
      <c r="S42" s="73"/>
      <c r="T42" s="69"/>
    </row>
    <row r="43" spans="3:20" ht="16.5" x14ac:dyDescent="0.35">
      <c r="C43" s="48">
        <f t="shared" si="2"/>
        <v>260.42</v>
      </c>
      <c r="D43" s="48"/>
      <c r="G43" s="86">
        <v>11800</v>
      </c>
      <c r="H43" s="87">
        <v>257.8</v>
      </c>
      <c r="I43" s="88">
        <v>277</v>
      </c>
      <c r="N43" s="124" t="s">
        <v>66</v>
      </c>
      <c r="O43" s="134">
        <f>SUM(O28:O42)</f>
        <v>14280.599999999999</v>
      </c>
      <c r="P43" s="135">
        <f>Loaded_Monent/O43</f>
        <v>266.73818467011193</v>
      </c>
      <c r="Q43" s="125">
        <f>SUM(Q28:Q42)</f>
        <v>3809181.32</v>
      </c>
      <c r="R43" s="89" t="s">
        <v>67</v>
      </c>
      <c r="S43" s="73"/>
    </row>
    <row r="44" spans="3:20" x14ac:dyDescent="0.3">
      <c r="C44" s="48">
        <f t="shared" si="2"/>
        <v>260.42</v>
      </c>
      <c r="D44" s="48"/>
      <c r="G44" s="86">
        <v>11900</v>
      </c>
      <c r="H44" s="87">
        <v>257.89999999999998</v>
      </c>
      <c r="I44" s="88">
        <v>277</v>
      </c>
      <c r="S44" s="73"/>
      <c r="T44" s="73"/>
    </row>
    <row r="45" spans="3:20" x14ac:dyDescent="0.3">
      <c r="C45" s="48">
        <f t="shared" si="2"/>
        <v>260.42</v>
      </c>
      <c r="D45" s="48"/>
      <c r="G45" s="86">
        <v>12000</v>
      </c>
      <c r="H45" s="87">
        <v>258</v>
      </c>
      <c r="I45" s="88">
        <v>277</v>
      </c>
      <c r="P45" s="27"/>
    </row>
    <row r="46" spans="3:20" x14ac:dyDescent="0.3">
      <c r="C46" s="48">
        <f t="shared" si="2"/>
        <v>260.42</v>
      </c>
      <c r="D46" s="48"/>
      <c r="G46" s="86">
        <v>12100</v>
      </c>
      <c r="H46" s="87">
        <v>258.10000000000002</v>
      </c>
      <c r="I46" s="88">
        <v>277</v>
      </c>
      <c r="R46" s="27"/>
    </row>
    <row r="47" spans="3:20" x14ac:dyDescent="0.3">
      <c r="C47" s="48">
        <f t="shared" si="2"/>
        <v>260.42</v>
      </c>
      <c r="D47" s="48"/>
      <c r="G47" s="86">
        <v>12200</v>
      </c>
      <c r="H47" s="87">
        <v>258.2</v>
      </c>
      <c r="I47" s="88">
        <v>277</v>
      </c>
      <c r="N47" s="92"/>
      <c r="O47" s="92"/>
      <c r="P47" s="92"/>
      <c r="Q47" s="92"/>
    </row>
    <row r="48" spans="3:20" x14ac:dyDescent="0.3">
      <c r="C48" s="48">
        <f t="shared" si="2"/>
        <v>260.42</v>
      </c>
      <c r="D48" s="48"/>
      <c r="G48" s="86">
        <v>12300</v>
      </c>
      <c r="H48" s="87">
        <v>258.3</v>
      </c>
      <c r="I48" s="88">
        <v>277</v>
      </c>
    </row>
    <row r="49" spans="3:14" x14ac:dyDescent="0.3">
      <c r="C49" s="48">
        <f t="shared" si="2"/>
        <v>260.42</v>
      </c>
      <c r="D49" s="48"/>
      <c r="G49" s="86">
        <v>12400</v>
      </c>
      <c r="H49" s="87">
        <v>258.39999999999998</v>
      </c>
      <c r="I49" s="88">
        <v>277</v>
      </c>
    </row>
    <row r="50" spans="3:14" x14ac:dyDescent="0.3">
      <c r="C50" s="48">
        <f t="shared" si="2"/>
        <v>260.42</v>
      </c>
      <c r="D50" s="48"/>
      <c r="G50" s="86">
        <v>12500</v>
      </c>
      <c r="H50" s="87">
        <v>258.5</v>
      </c>
      <c r="I50" s="88">
        <v>277</v>
      </c>
      <c r="L50" s="90"/>
    </row>
    <row r="51" spans="3:14" x14ac:dyDescent="0.3">
      <c r="C51" s="48">
        <f t="shared" si="2"/>
        <v>260.42</v>
      </c>
      <c r="D51" s="48"/>
      <c r="G51" s="86">
        <v>12600</v>
      </c>
      <c r="H51" s="87">
        <v>258.60000000000002</v>
      </c>
      <c r="I51" s="88">
        <v>277</v>
      </c>
    </row>
    <row r="52" spans="3:14" x14ac:dyDescent="0.3">
      <c r="C52" s="48">
        <f t="shared" si="2"/>
        <v>260.42</v>
      </c>
      <c r="D52" s="48"/>
      <c r="G52" s="86">
        <v>12700</v>
      </c>
      <c r="H52" s="87">
        <v>258.7</v>
      </c>
      <c r="I52" s="88">
        <v>277</v>
      </c>
      <c r="L52" s="91" t="s">
        <v>68</v>
      </c>
      <c r="M52" s="92" t="str">
        <f>IF(I16&gt;14600,"Over Gross","Burn Taxi Fuel")</f>
        <v>Burn Taxi Fuel</v>
      </c>
    </row>
    <row r="53" spans="3:14" ht="16.5" x14ac:dyDescent="0.35">
      <c r="C53" s="48">
        <f t="shared" si="2"/>
        <v>260.42</v>
      </c>
      <c r="D53" s="48"/>
      <c r="G53" s="86">
        <v>12800</v>
      </c>
      <c r="H53" s="87">
        <v>258.8</v>
      </c>
      <c r="I53" s="88">
        <v>277</v>
      </c>
      <c r="N53" s="118" t="s">
        <v>69</v>
      </c>
    </row>
    <row r="54" spans="3:14" ht="25.5" x14ac:dyDescent="0.3">
      <c r="C54" s="48">
        <f t="shared" si="2"/>
        <v>260.42</v>
      </c>
      <c r="D54" s="1" t="str">
        <f>IF(I18&lt;I17,"C.G. Not OK","OK CG")</f>
        <v>OK CG</v>
      </c>
      <c r="G54" s="86">
        <v>12900</v>
      </c>
      <c r="H54" s="87">
        <v>258.89999999999998</v>
      </c>
      <c r="I54" s="88">
        <v>277</v>
      </c>
      <c r="K54" s="106"/>
      <c r="L54" s="116" t="s">
        <v>47</v>
      </c>
      <c r="M54" s="117" t="s">
        <v>70</v>
      </c>
      <c r="N54" s="107" t="s">
        <v>54</v>
      </c>
    </row>
    <row r="55" spans="3:14" x14ac:dyDescent="0.3">
      <c r="C55" s="48">
        <f t="shared" si="2"/>
        <v>260.42</v>
      </c>
      <c r="G55" s="86">
        <v>13000</v>
      </c>
      <c r="H55" s="87">
        <v>259</v>
      </c>
      <c r="I55" s="88">
        <v>277</v>
      </c>
      <c r="K55" s="108"/>
      <c r="L55" s="122">
        <v>100</v>
      </c>
      <c r="M55" s="109">
        <f t="shared" ref="M55:M97" si="3">L55/6.7</f>
        <v>14.925373134328359</v>
      </c>
      <c r="N55" s="119">
        <v>293.89999999999998</v>
      </c>
    </row>
    <row r="56" spans="3:14" x14ac:dyDescent="0.3">
      <c r="C56" s="48">
        <f t="shared" si="2"/>
        <v>260.42</v>
      </c>
      <c r="G56" s="86">
        <v>13100</v>
      </c>
      <c r="H56" s="87">
        <v>259.10000000000002</v>
      </c>
      <c r="I56" s="88">
        <v>277</v>
      </c>
      <c r="K56" s="108"/>
      <c r="L56" s="110">
        <v>200</v>
      </c>
      <c r="M56" s="111">
        <f t="shared" si="3"/>
        <v>29.850746268656717</v>
      </c>
      <c r="N56" s="120">
        <v>293.60000000000002</v>
      </c>
    </row>
    <row r="57" spans="3:14" x14ac:dyDescent="0.3">
      <c r="C57" s="48">
        <f t="shared" si="2"/>
        <v>260.42</v>
      </c>
      <c r="G57" s="86">
        <v>13200</v>
      </c>
      <c r="H57" s="87">
        <v>259.2</v>
      </c>
      <c r="I57" s="88">
        <v>277</v>
      </c>
      <c r="K57" s="108"/>
      <c r="L57" s="110">
        <v>300</v>
      </c>
      <c r="M57" s="111">
        <f t="shared" si="3"/>
        <v>44.776119402985074</v>
      </c>
      <c r="N57" s="120">
        <v>293.3</v>
      </c>
    </row>
    <row r="58" spans="3:14" x14ac:dyDescent="0.3">
      <c r="C58" s="48">
        <f t="shared" si="2"/>
        <v>260.42</v>
      </c>
      <c r="G58" s="86">
        <v>13300</v>
      </c>
      <c r="H58" s="87">
        <v>259.3</v>
      </c>
      <c r="I58" s="88">
        <v>277</v>
      </c>
      <c r="K58" s="108"/>
      <c r="L58" s="110">
        <v>400</v>
      </c>
      <c r="M58" s="111">
        <f t="shared" si="3"/>
        <v>59.701492537313435</v>
      </c>
      <c r="N58" s="120">
        <v>293</v>
      </c>
    </row>
    <row r="59" spans="3:14" x14ac:dyDescent="0.3">
      <c r="C59" s="48">
        <f t="shared" si="2"/>
        <v>260.42</v>
      </c>
      <c r="G59" s="86">
        <v>13400</v>
      </c>
      <c r="H59" s="87">
        <v>259.39999999999998</v>
      </c>
      <c r="I59" s="88">
        <v>277</v>
      </c>
      <c r="K59" s="108"/>
      <c r="L59" s="110">
        <v>500</v>
      </c>
      <c r="M59" s="111">
        <f t="shared" si="3"/>
        <v>74.626865671641795</v>
      </c>
      <c r="N59" s="120">
        <f>AVERAGE(N58,N60)</f>
        <v>292.64999999999998</v>
      </c>
    </row>
    <row r="60" spans="3:14" x14ac:dyDescent="0.3">
      <c r="C60" s="48">
        <f t="shared" si="2"/>
        <v>260.42</v>
      </c>
      <c r="G60" s="86">
        <v>13500</v>
      </c>
      <c r="H60" s="87">
        <v>259.5</v>
      </c>
      <c r="I60" s="88">
        <v>277</v>
      </c>
      <c r="K60" s="108"/>
      <c r="L60" s="110">
        <v>600</v>
      </c>
      <c r="M60" s="111">
        <f t="shared" si="3"/>
        <v>89.552238805970148</v>
      </c>
      <c r="N60" s="120">
        <v>292.3</v>
      </c>
    </row>
    <row r="61" spans="3:14" x14ac:dyDescent="0.3">
      <c r="C61" s="48">
        <f t="shared" si="2"/>
        <v>260.42</v>
      </c>
      <c r="G61" s="86">
        <v>13600</v>
      </c>
      <c r="H61" s="87">
        <v>259.60000000000002</v>
      </c>
      <c r="I61" s="88">
        <v>277</v>
      </c>
      <c r="K61" s="108"/>
      <c r="L61" s="110">
        <v>700</v>
      </c>
      <c r="M61" s="111">
        <f t="shared" si="3"/>
        <v>104.4776119402985</v>
      </c>
      <c r="N61" s="120">
        <f>AVERAGE(N60,N62)</f>
        <v>291.85000000000002</v>
      </c>
    </row>
    <row r="62" spans="3:14" x14ac:dyDescent="0.3">
      <c r="C62" s="48">
        <f t="shared" si="2"/>
        <v>260.42</v>
      </c>
      <c r="G62" s="86">
        <v>13700</v>
      </c>
      <c r="H62" s="87">
        <v>259.7</v>
      </c>
      <c r="I62" s="88">
        <v>277</v>
      </c>
      <c r="K62" s="108"/>
      <c r="L62" s="110">
        <v>800</v>
      </c>
      <c r="M62" s="111">
        <f t="shared" si="3"/>
        <v>119.40298507462687</v>
      </c>
      <c r="N62" s="120">
        <v>291.39999999999998</v>
      </c>
    </row>
    <row r="63" spans="3:14" x14ac:dyDescent="0.3">
      <c r="C63" s="48">
        <f t="shared" si="2"/>
        <v>260.42</v>
      </c>
      <c r="G63" s="86">
        <v>13800</v>
      </c>
      <c r="H63" s="87">
        <v>259.8</v>
      </c>
      <c r="I63" s="88">
        <v>277</v>
      </c>
      <c r="K63" s="108"/>
      <c r="L63" s="110">
        <v>900</v>
      </c>
      <c r="M63" s="111">
        <f t="shared" si="3"/>
        <v>134.32835820895522</v>
      </c>
      <c r="N63" s="120">
        <f>AVERAGE(N62,N64)</f>
        <v>290.95</v>
      </c>
    </row>
    <row r="64" spans="3:14" x14ac:dyDescent="0.3">
      <c r="C64" s="48">
        <f t="shared" si="2"/>
        <v>260.42</v>
      </c>
      <c r="G64" s="86">
        <v>13900</v>
      </c>
      <c r="H64" s="87">
        <v>259.89999999999998</v>
      </c>
      <c r="I64" s="88">
        <v>277</v>
      </c>
      <c r="K64" s="108"/>
      <c r="L64" s="110">
        <v>1000</v>
      </c>
      <c r="M64" s="111">
        <f t="shared" si="3"/>
        <v>149.25373134328359</v>
      </c>
      <c r="N64" s="120">
        <v>290.5</v>
      </c>
    </row>
    <row r="65" spans="3:14" x14ac:dyDescent="0.3">
      <c r="C65" s="48">
        <f t="shared" si="2"/>
        <v>260.42</v>
      </c>
      <c r="G65" s="86">
        <v>14000</v>
      </c>
      <c r="H65" s="87">
        <v>260</v>
      </c>
      <c r="I65" s="88">
        <v>277</v>
      </c>
      <c r="K65" s="108"/>
      <c r="L65" s="110">
        <v>1100</v>
      </c>
      <c r="M65" s="111">
        <f t="shared" si="3"/>
        <v>164.17910447761193</v>
      </c>
      <c r="N65" s="120">
        <f>AVERAGE(N64,N66)</f>
        <v>290.05</v>
      </c>
    </row>
    <row r="66" spans="3:14" x14ac:dyDescent="0.3">
      <c r="C66" s="48">
        <f t="shared" si="2"/>
        <v>260.42</v>
      </c>
      <c r="G66" s="86">
        <v>14100</v>
      </c>
      <c r="H66" s="87">
        <v>260.14</v>
      </c>
      <c r="I66" s="88">
        <v>277</v>
      </c>
      <c r="K66" s="108"/>
      <c r="L66" s="110">
        <v>1200</v>
      </c>
      <c r="M66" s="111">
        <f t="shared" si="3"/>
        <v>179.1044776119403</v>
      </c>
      <c r="N66" s="120">
        <v>289.60000000000002</v>
      </c>
    </row>
    <row r="67" spans="3:14" x14ac:dyDescent="0.3">
      <c r="C67" s="48">
        <f t="shared" ref="C67:C90" si="4">IF(Take_Off_Wt.&lt;G67,H67,C68)</f>
        <v>260.42</v>
      </c>
      <c r="G67" s="86">
        <v>14200</v>
      </c>
      <c r="H67" s="87">
        <v>260.27999999999997</v>
      </c>
      <c r="I67" s="88">
        <v>277</v>
      </c>
      <c r="K67" s="108"/>
      <c r="L67" s="110">
        <v>1300</v>
      </c>
      <c r="M67" s="111">
        <f t="shared" si="3"/>
        <v>194.02985074626866</v>
      </c>
      <c r="N67" s="120">
        <f>AVERAGE(N66,N68)</f>
        <v>289.14999999999998</v>
      </c>
    </row>
    <row r="68" spans="3:14" x14ac:dyDescent="0.3">
      <c r="C68" s="48">
        <f t="shared" si="4"/>
        <v>260.42</v>
      </c>
      <c r="G68" s="86">
        <v>14300</v>
      </c>
      <c r="H68" s="87">
        <v>260.42</v>
      </c>
      <c r="I68" s="88">
        <v>277</v>
      </c>
      <c r="K68" s="108"/>
      <c r="L68" s="110">
        <v>1400</v>
      </c>
      <c r="M68" s="111">
        <f t="shared" si="3"/>
        <v>208.955223880597</v>
      </c>
      <c r="N68" s="120">
        <v>288.7</v>
      </c>
    </row>
    <row r="69" spans="3:14" x14ac:dyDescent="0.3">
      <c r="C69" s="48">
        <f t="shared" si="4"/>
        <v>260.56</v>
      </c>
      <c r="G69" s="86">
        <v>14400</v>
      </c>
      <c r="H69" s="87">
        <v>260.56</v>
      </c>
      <c r="I69" s="88">
        <v>277</v>
      </c>
      <c r="K69" s="108"/>
      <c r="L69" s="110">
        <v>1500</v>
      </c>
      <c r="M69" s="111">
        <f t="shared" si="3"/>
        <v>223.88059701492537</v>
      </c>
      <c r="N69" s="120">
        <f>AVERAGE(N68,N70)</f>
        <v>288.25</v>
      </c>
    </row>
    <row r="70" spans="3:14" x14ac:dyDescent="0.3">
      <c r="C70" s="48">
        <f t="shared" si="4"/>
        <v>260.7</v>
      </c>
      <c r="G70" s="86">
        <v>14500</v>
      </c>
      <c r="H70" s="87">
        <v>260.7</v>
      </c>
      <c r="I70" s="88">
        <v>277</v>
      </c>
      <c r="K70" s="108"/>
      <c r="L70" s="110">
        <v>1600</v>
      </c>
      <c r="M70" s="111">
        <f t="shared" si="3"/>
        <v>238.80597014925374</v>
      </c>
      <c r="N70" s="120">
        <v>287.8</v>
      </c>
    </row>
    <row r="71" spans="3:14" x14ac:dyDescent="0.3">
      <c r="C71" s="48">
        <f t="shared" si="4"/>
        <v>260.77999999999997</v>
      </c>
      <c r="G71" s="93">
        <v>14600</v>
      </c>
      <c r="H71" s="94">
        <v>260.77999999999997</v>
      </c>
      <c r="I71" s="95">
        <v>277</v>
      </c>
      <c r="K71" s="108"/>
      <c r="L71" s="110">
        <v>1700</v>
      </c>
      <c r="M71" s="111">
        <f t="shared" si="3"/>
        <v>253.73134328358208</v>
      </c>
      <c r="N71" s="120">
        <f>AVERAGE(N70,N72)</f>
        <v>287.39999999999998</v>
      </c>
    </row>
    <row r="72" spans="3:14" x14ac:dyDescent="0.3">
      <c r="C72" s="48">
        <f t="shared" si="4"/>
        <v>260.86</v>
      </c>
      <c r="G72" s="93">
        <v>14700</v>
      </c>
      <c r="H72" s="94">
        <v>260.86</v>
      </c>
      <c r="I72" s="95">
        <v>277</v>
      </c>
      <c r="K72" s="108"/>
      <c r="L72" s="110">
        <v>1800</v>
      </c>
      <c r="M72" s="111">
        <f t="shared" si="3"/>
        <v>268.65671641791045</v>
      </c>
      <c r="N72" s="120">
        <v>287</v>
      </c>
    </row>
    <row r="73" spans="3:14" x14ac:dyDescent="0.3">
      <c r="C73" s="48">
        <f t="shared" si="4"/>
        <v>260.94</v>
      </c>
      <c r="G73" s="93">
        <v>14800</v>
      </c>
      <c r="H73" s="94">
        <v>260.94</v>
      </c>
      <c r="I73" s="95">
        <v>277</v>
      </c>
      <c r="K73" s="108"/>
      <c r="L73" s="110">
        <v>1900</v>
      </c>
      <c r="M73" s="111">
        <f t="shared" si="3"/>
        <v>283.58208955223881</v>
      </c>
      <c r="N73" s="120">
        <f>AVERAGE(N72,N74)</f>
        <v>286.64999999999998</v>
      </c>
    </row>
    <row r="74" spans="3:14" x14ac:dyDescent="0.3">
      <c r="C74" s="48">
        <f t="shared" si="4"/>
        <v>261.02</v>
      </c>
      <c r="G74" s="93">
        <v>14900</v>
      </c>
      <c r="H74" s="94">
        <v>261.02</v>
      </c>
      <c r="I74" s="95">
        <v>277</v>
      </c>
      <c r="K74" s="108"/>
      <c r="L74" s="110">
        <v>2000</v>
      </c>
      <c r="M74" s="111">
        <f t="shared" si="3"/>
        <v>298.50746268656718</v>
      </c>
      <c r="N74" s="120">
        <v>286.3</v>
      </c>
    </row>
    <row r="75" spans="3:14" x14ac:dyDescent="0.3">
      <c r="C75" s="48">
        <f t="shared" si="4"/>
        <v>261.10000000000002</v>
      </c>
      <c r="G75" s="93">
        <v>15000</v>
      </c>
      <c r="H75" s="94">
        <v>261.10000000000002</v>
      </c>
      <c r="I75" s="95">
        <v>277</v>
      </c>
      <c r="K75" s="108"/>
      <c r="L75" s="110">
        <v>2100</v>
      </c>
      <c r="M75" s="111">
        <f t="shared" si="3"/>
        <v>313.43283582089549</v>
      </c>
      <c r="N75" s="120">
        <f>AVERAGE(N74,N76)</f>
        <v>285.95000000000005</v>
      </c>
    </row>
    <row r="76" spans="3:14" x14ac:dyDescent="0.3">
      <c r="C76" s="48">
        <f t="shared" si="4"/>
        <v>261.18</v>
      </c>
      <c r="G76" s="93">
        <v>15100</v>
      </c>
      <c r="H76" s="94">
        <v>261.18</v>
      </c>
      <c r="I76" s="95">
        <v>277</v>
      </c>
      <c r="K76" s="108"/>
      <c r="L76" s="110">
        <v>2200</v>
      </c>
      <c r="M76" s="111">
        <f t="shared" si="3"/>
        <v>328.35820895522386</v>
      </c>
      <c r="N76" s="120">
        <v>285.60000000000002</v>
      </c>
    </row>
    <row r="77" spans="3:14" x14ac:dyDescent="0.3">
      <c r="C77" s="48">
        <f t="shared" si="4"/>
        <v>261.26</v>
      </c>
      <c r="G77" s="93">
        <v>15200</v>
      </c>
      <c r="H77" s="94">
        <v>261.26</v>
      </c>
      <c r="I77" s="95">
        <v>277</v>
      </c>
      <c r="K77" s="108"/>
      <c r="L77" s="110">
        <v>2300</v>
      </c>
      <c r="M77" s="111">
        <f t="shared" si="3"/>
        <v>343.28358208955223</v>
      </c>
      <c r="N77" s="120">
        <f>AVERAGE(N76,N78)</f>
        <v>285.3</v>
      </c>
    </row>
    <row r="78" spans="3:14" x14ac:dyDescent="0.3">
      <c r="C78" s="48">
        <f t="shared" si="4"/>
        <v>261.33999999999997</v>
      </c>
      <c r="G78" s="93">
        <v>15300</v>
      </c>
      <c r="H78" s="94">
        <v>261.33999999999997</v>
      </c>
      <c r="I78" s="95">
        <v>277</v>
      </c>
      <c r="K78" s="108"/>
      <c r="L78" s="110">
        <v>2400</v>
      </c>
      <c r="M78" s="111">
        <f t="shared" si="3"/>
        <v>358.20895522388059</v>
      </c>
      <c r="N78" s="120">
        <v>285</v>
      </c>
    </row>
    <row r="79" spans="3:14" x14ac:dyDescent="0.3">
      <c r="C79" s="48">
        <f t="shared" si="4"/>
        <v>261.42</v>
      </c>
      <c r="G79" s="93">
        <v>15400</v>
      </c>
      <c r="H79" s="94">
        <v>261.42</v>
      </c>
      <c r="I79" s="95">
        <v>277</v>
      </c>
      <c r="K79" s="108"/>
      <c r="L79" s="110">
        <v>2500</v>
      </c>
      <c r="M79" s="111">
        <f t="shared" si="3"/>
        <v>373.13432835820896</v>
      </c>
      <c r="N79" s="120">
        <f>AVERAGE(N78,N80)</f>
        <v>284.7</v>
      </c>
    </row>
    <row r="80" spans="3:14" x14ac:dyDescent="0.3">
      <c r="C80" s="48">
        <f t="shared" si="4"/>
        <v>261.5</v>
      </c>
      <c r="G80" s="93">
        <v>15500</v>
      </c>
      <c r="H80" s="94">
        <v>261.5</v>
      </c>
      <c r="I80" s="95">
        <v>277</v>
      </c>
      <c r="K80" s="108"/>
      <c r="L80" s="110">
        <v>2600</v>
      </c>
      <c r="M80" s="111">
        <f t="shared" si="3"/>
        <v>388.05970149253733</v>
      </c>
      <c r="N80" s="120">
        <v>284.39999999999998</v>
      </c>
    </row>
    <row r="81" spans="3:14" x14ac:dyDescent="0.3">
      <c r="C81" s="48">
        <f t="shared" si="4"/>
        <v>261.58</v>
      </c>
      <c r="G81" s="93">
        <v>15600</v>
      </c>
      <c r="H81" s="94">
        <v>261.58</v>
      </c>
      <c r="I81" s="95">
        <v>277</v>
      </c>
      <c r="K81" s="108"/>
      <c r="L81" s="110">
        <v>2700</v>
      </c>
      <c r="M81" s="111">
        <f t="shared" si="3"/>
        <v>402.98507462686564</v>
      </c>
      <c r="N81" s="120">
        <f>AVERAGE(N80,N82)</f>
        <v>284.14999999999998</v>
      </c>
    </row>
    <row r="82" spans="3:14" x14ac:dyDescent="0.3">
      <c r="C82" s="48">
        <f t="shared" si="4"/>
        <v>261.66000000000003</v>
      </c>
      <c r="G82" s="93">
        <v>15700</v>
      </c>
      <c r="H82" s="94">
        <v>261.66000000000003</v>
      </c>
      <c r="I82" s="95">
        <v>277</v>
      </c>
      <c r="K82" s="108"/>
      <c r="L82" s="110">
        <v>2800</v>
      </c>
      <c r="M82" s="111">
        <f t="shared" si="3"/>
        <v>417.91044776119401</v>
      </c>
      <c r="N82" s="120">
        <v>283.89999999999998</v>
      </c>
    </row>
    <row r="83" spans="3:14" x14ac:dyDescent="0.3">
      <c r="C83" s="48">
        <f t="shared" si="4"/>
        <v>261.74</v>
      </c>
      <c r="G83" s="93">
        <v>15800</v>
      </c>
      <c r="H83" s="94">
        <v>261.74</v>
      </c>
      <c r="I83" s="95">
        <v>277</v>
      </c>
      <c r="K83" s="108"/>
      <c r="L83" s="110">
        <v>2900</v>
      </c>
      <c r="M83" s="111">
        <f t="shared" si="3"/>
        <v>432.83582089552237</v>
      </c>
      <c r="N83" s="120">
        <f>AVERAGE(N82,N84)</f>
        <v>283.7</v>
      </c>
    </row>
    <row r="84" spans="3:14" x14ac:dyDescent="0.3">
      <c r="C84" s="48">
        <f t="shared" si="4"/>
        <v>261.82</v>
      </c>
      <c r="G84" s="93">
        <v>15900</v>
      </c>
      <c r="H84" s="94">
        <v>261.82</v>
      </c>
      <c r="I84" s="95">
        <v>277</v>
      </c>
      <c r="K84" s="108"/>
      <c r="L84" s="110">
        <v>3000</v>
      </c>
      <c r="M84" s="111">
        <f t="shared" si="3"/>
        <v>447.76119402985074</v>
      </c>
      <c r="N84" s="120">
        <v>283.5</v>
      </c>
    </row>
    <row r="85" spans="3:14" x14ac:dyDescent="0.3">
      <c r="C85" s="48">
        <f t="shared" si="4"/>
        <v>261.89999999999998</v>
      </c>
      <c r="G85" s="93">
        <v>16000</v>
      </c>
      <c r="H85" s="94">
        <v>261.89999999999998</v>
      </c>
      <c r="I85" s="95">
        <v>277</v>
      </c>
      <c r="K85" s="108"/>
      <c r="L85" s="110">
        <v>3100</v>
      </c>
      <c r="M85" s="111">
        <f t="shared" si="3"/>
        <v>462.68656716417911</v>
      </c>
      <c r="N85" s="120">
        <f>AVERAGE(N84,N86)</f>
        <v>283.25</v>
      </c>
    </row>
    <row r="86" spans="3:14" x14ac:dyDescent="0.3">
      <c r="C86" s="48">
        <f t="shared" si="4"/>
        <v>261.98</v>
      </c>
      <c r="G86" s="93">
        <v>16100</v>
      </c>
      <c r="H86" s="94">
        <v>261.98</v>
      </c>
      <c r="I86" s="95">
        <v>277</v>
      </c>
      <c r="K86" s="108"/>
      <c r="L86" s="110">
        <v>3200</v>
      </c>
      <c r="M86" s="111">
        <f t="shared" si="3"/>
        <v>477.61194029850748</v>
      </c>
      <c r="N86" s="120">
        <v>283</v>
      </c>
    </row>
    <row r="87" spans="3:14" x14ac:dyDescent="0.3">
      <c r="C87" s="48">
        <f t="shared" si="4"/>
        <v>262.06</v>
      </c>
      <c r="G87" s="93">
        <v>16200</v>
      </c>
      <c r="H87" s="94">
        <v>262.06</v>
      </c>
      <c r="I87" s="95">
        <v>277</v>
      </c>
      <c r="K87" s="108"/>
      <c r="L87" s="110">
        <v>3300</v>
      </c>
      <c r="M87" s="111">
        <f t="shared" si="3"/>
        <v>492.53731343283579</v>
      </c>
      <c r="N87" s="120">
        <f>AVERAGE(N86,N88)</f>
        <v>282.8</v>
      </c>
    </row>
    <row r="88" spans="3:14" x14ac:dyDescent="0.3">
      <c r="C88" s="48">
        <f t="shared" si="4"/>
        <v>262.14</v>
      </c>
      <c r="G88" s="93">
        <v>16300</v>
      </c>
      <c r="H88" s="94">
        <v>262.14</v>
      </c>
      <c r="I88" s="95">
        <v>277</v>
      </c>
      <c r="K88" s="108"/>
      <c r="L88" s="110">
        <v>3400</v>
      </c>
      <c r="M88" s="111">
        <f t="shared" si="3"/>
        <v>507.46268656716416</v>
      </c>
      <c r="N88" s="120">
        <v>282.60000000000002</v>
      </c>
    </row>
    <row r="89" spans="3:14" x14ac:dyDescent="0.3">
      <c r="C89" s="48">
        <f t="shared" si="4"/>
        <v>262.22000000000003</v>
      </c>
      <c r="G89" s="93">
        <v>16400</v>
      </c>
      <c r="H89" s="94">
        <v>262.22000000000003</v>
      </c>
      <c r="I89" s="95">
        <v>277</v>
      </c>
      <c r="K89" s="108"/>
      <c r="L89" s="110">
        <v>3500</v>
      </c>
      <c r="M89" s="111">
        <f t="shared" si="3"/>
        <v>522.38805970149258</v>
      </c>
      <c r="N89" s="120">
        <f>AVERAGE(N88,N90)</f>
        <v>282.45000000000005</v>
      </c>
    </row>
    <row r="90" spans="3:14" x14ac:dyDescent="0.3">
      <c r="C90" s="48">
        <f t="shared" si="4"/>
        <v>262.3</v>
      </c>
      <c r="G90" s="93">
        <v>16500</v>
      </c>
      <c r="H90" s="94">
        <v>262.3</v>
      </c>
      <c r="I90" s="95">
        <v>277</v>
      </c>
      <c r="K90" s="108"/>
      <c r="L90" s="110">
        <v>3600</v>
      </c>
      <c r="M90" s="111">
        <f t="shared" si="3"/>
        <v>537.31343283582089</v>
      </c>
      <c r="N90" s="120">
        <v>282.3</v>
      </c>
    </row>
    <row r="91" spans="3:14" x14ac:dyDescent="0.3">
      <c r="K91" s="108"/>
      <c r="L91" s="110">
        <v>3700</v>
      </c>
      <c r="M91" s="111">
        <f t="shared" si="3"/>
        <v>552.2388059701492</v>
      </c>
      <c r="N91" s="120">
        <f>AVERAGE(N90,N92)</f>
        <v>282.14999999999998</v>
      </c>
    </row>
    <row r="92" spans="3:14" x14ac:dyDescent="0.3">
      <c r="K92" s="108"/>
      <c r="L92" s="110">
        <v>3800</v>
      </c>
      <c r="M92" s="111">
        <f t="shared" si="3"/>
        <v>567.16417910447763</v>
      </c>
      <c r="N92" s="120">
        <v>282</v>
      </c>
    </row>
    <row r="93" spans="3:14" x14ac:dyDescent="0.3">
      <c r="K93" s="108"/>
      <c r="L93" s="110">
        <v>3900</v>
      </c>
      <c r="M93" s="111">
        <f t="shared" si="3"/>
        <v>582.08955223880594</v>
      </c>
      <c r="N93" s="120">
        <f>AVERAGE(N92,N94)</f>
        <v>281.85000000000002</v>
      </c>
    </row>
    <row r="94" spans="3:14" x14ac:dyDescent="0.3">
      <c r="K94" s="108"/>
      <c r="L94" s="110">
        <v>4000</v>
      </c>
      <c r="M94" s="111">
        <f t="shared" si="3"/>
        <v>597.01492537313436</v>
      </c>
      <c r="N94" s="120">
        <v>281.7</v>
      </c>
    </row>
    <row r="95" spans="3:14" x14ac:dyDescent="0.3">
      <c r="K95" s="108"/>
      <c r="L95" s="110">
        <v>4100</v>
      </c>
      <c r="M95" s="111">
        <f t="shared" si="3"/>
        <v>611.94029850746267</v>
      </c>
      <c r="N95" s="120">
        <f>AVERAGE(N94,N96)</f>
        <v>281.54999999999995</v>
      </c>
    </row>
    <row r="96" spans="3:14" x14ac:dyDescent="0.3">
      <c r="K96" s="108"/>
      <c r="L96" s="110">
        <v>4200</v>
      </c>
      <c r="M96" s="111">
        <f t="shared" si="3"/>
        <v>626.86567164179098</v>
      </c>
      <c r="N96" s="120">
        <v>281.39999999999998</v>
      </c>
    </row>
    <row r="97" spans="11:14" x14ac:dyDescent="0.3">
      <c r="K97" s="108"/>
      <c r="L97" s="110">
        <v>4342</v>
      </c>
      <c r="M97" s="112">
        <f t="shared" si="3"/>
        <v>648.05970149253733</v>
      </c>
      <c r="N97" s="120">
        <v>281.3</v>
      </c>
    </row>
    <row r="98" spans="11:14" x14ac:dyDescent="0.3">
      <c r="K98" s="113" t="s">
        <v>71</v>
      </c>
      <c r="L98" s="114">
        <v>4400</v>
      </c>
      <c r="M98" s="115">
        <f>L98/6.8</f>
        <v>647.05882352941182</v>
      </c>
      <c r="N98" s="121">
        <v>281.3</v>
      </c>
    </row>
    <row r="99" spans="11:14" x14ac:dyDescent="0.3">
      <c r="K99" s="113" t="s">
        <v>72</v>
      </c>
      <c r="L99" s="110">
        <v>4600</v>
      </c>
      <c r="M99" s="112">
        <f>L99/7.1</f>
        <v>647.88732394366195</v>
      </c>
      <c r="N99" s="120">
        <v>281.3</v>
      </c>
    </row>
  </sheetData>
  <sheetProtection sheet="1" objects="1" scenarios="1"/>
  <mergeCells count="2">
    <mergeCell ref="B6:C7"/>
    <mergeCell ref="B25:G25"/>
  </mergeCells>
  <printOptions gridLines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782C Equal Dist Load</vt:lpstr>
      <vt:lpstr>782C Loading</vt:lpstr>
      <vt:lpstr>'782C Equal Dist Load'!Loaded_Monent</vt:lpstr>
      <vt:lpstr>'782C Loading'!Loaded_Monent</vt:lpstr>
      <vt:lpstr>'782C Equal Dist Load'!Max_Ld_Wt.</vt:lpstr>
      <vt:lpstr>'782C Loading'!Max_Ld_Wt.</vt:lpstr>
      <vt:lpstr>'782C Equal Dist Load'!Print_Area</vt:lpstr>
      <vt:lpstr>'782C Loading'!Print_Area</vt:lpstr>
      <vt:lpstr>'782C Equal Dist Load'!Take_Off_C.G.</vt:lpstr>
      <vt:lpstr>'782C Loading'!Take_Off_C.G.</vt:lpstr>
      <vt:lpstr>'782C Equal Dist Load'!Take_Off_Wt.</vt:lpstr>
      <vt:lpstr>'782C Loading'!Take_Off_Wt.</vt:lpstr>
      <vt:lpstr>'782C Equal Dist Load'!ZFW</vt:lpstr>
      <vt:lpstr>'782C Loading'!ZFW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transnorthern.com</cp:lastModifiedBy>
  <cp:lastPrinted>2020-08-11T21:22:31Z</cp:lastPrinted>
  <dcterms:created xsi:type="dcterms:W3CDTF">2008-04-22T17:34:35Z</dcterms:created>
  <dcterms:modified xsi:type="dcterms:W3CDTF">2024-10-23T22:37:50Z</dcterms:modified>
</cp:coreProperties>
</file>