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_TransNorthern\Aircraft\Douglas  DC-3 Series\Supers\N28TN\Wt Bal\"/>
    </mc:Choice>
  </mc:AlternateContent>
  <xr:revisionPtr revIDLastSave="0" documentId="13_ncr:1_{2255F149-33B7-4BD6-A604-1E9B30E93F62}" xr6:coauthVersionLast="47" xr6:coauthVersionMax="47" xr10:uidLastSave="{00000000-0000-0000-0000-000000000000}"/>
  <bookViews>
    <workbookView xWindow="690" yWindow="0" windowWidth="22005" windowHeight="15585" xr2:uid="{00000000-000D-0000-FFFF-FFFF00000000}"/>
  </bookViews>
  <sheets>
    <sheet name="N28TN 2024" sheetId="1" r:id="rId1"/>
    <sheet name="N28TN Ave Loading" sheetId="2" r:id="rId2"/>
  </sheets>
  <definedNames>
    <definedName name="_xlnm.Print_Area" localSheetId="0">'N28TN 2024'!$A$2:$F$30</definedName>
    <definedName name="_xlnm.Print_Area" localSheetId="1">'N28TN Ave Loading'!$A$1:$G$30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2" l="1"/>
  <c r="C15" i="1" l="1"/>
  <c r="M22" i="1"/>
  <c r="M22" i="2"/>
  <c r="E10" i="2"/>
  <c r="M15" i="2" s="1"/>
  <c r="E9" i="2"/>
  <c r="M14" i="2" s="1"/>
  <c r="E8" i="2"/>
  <c r="M13" i="2" s="1"/>
  <c r="E7" i="2"/>
  <c r="M7" i="1"/>
  <c r="M8" i="1"/>
  <c r="M10" i="1"/>
  <c r="M11" i="1"/>
  <c r="M12" i="1"/>
  <c r="M13" i="1"/>
  <c r="M14" i="1"/>
  <c r="M15" i="1"/>
  <c r="M16" i="1"/>
  <c r="M17" i="1"/>
  <c r="M19" i="1"/>
  <c r="M20" i="1"/>
  <c r="M23" i="1"/>
  <c r="M24" i="1"/>
  <c r="C7" i="1"/>
  <c r="I6" i="1"/>
  <c r="C15" i="2" l="1"/>
  <c r="C13" i="1"/>
  <c r="M21" i="1" s="1"/>
  <c r="I6" i="2"/>
  <c r="M16" i="2"/>
  <c r="M24" i="2"/>
  <c r="M12" i="2"/>
  <c r="E16" i="2" l="1"/>
  <c r="D22" i="2" s="1"/>
  <c r="O15" i="2"/>
  <c r="M17" i="2"/>
  <c r="O17" i="2" s="1"/>
  <c r="J8" i="1"/>
  <c r="J8" i="2"/>
  <c r="O24" i="2"/>
  <c r="M23" i="2"/>
  <c r="O23" i="2" s="1"/>
  <c r="O22" i="2"/>
  <c r="M21" i="2"/>
  <c r="O21" i="2" s="1"/>
  <c r="M20" i="2"/>
  <c r="O20" i="2" s="1"/>
  <c r="M19" i="2"/>
  <c r="O19" i="2" s="1"/>
  <c r="M18" i="2"/>
  <c r="O18" i="2" s="1"/>
  <c r="O16" i="2"/>
  <c r="O13" i="2"/>
  <c r="O12" i="2"/>
  <c r="M11" i="2"/>
  <c r="O11" i="2" s="1"/>
  <c r="M10" i="2"/>
  <c r="O10" i="2" s="1"/>
  <c r="M9" i="2"/>
  <c r="O9" i="2" s="1"/>
  <c r="M8" i="2"/>
  <c r="M7" i="2"/>
  <c r="M6" i="2"/>
  <c r="O6" i="2" s="1"/>
  <c r="N5" i="2"/>
  <c r="M5" i="2"/>
  <c r="O15" i="1"/>
  <c r="O19" i="1"/>
  <c r="O20" i="1"/>
  <c r="O23" i="1"/>
  <c r="O24" i="1"/>
  <c r="O21" i="1"/>
  <c r="O22" i="1"/>
  <c r="O16" i="1"/>
  <c r="O13" i="1"/>
  <c r="O14" i="1"/>
  <c r="O12" i="1"/>
  <c r="O11" i="1"/>
  <c r="O10" i="1"/>
  <c r="O8" i="1"/>
  <c r="O7" i="1"/>
  <c r="N5" i="1"/>
  <c r="M5" i="1"/>
  <c r="M9" i="1"/>
  <c r="O9" i="1" s="1"/>
  <c r="O5" i="2" l="1"/>
  <c r="O5" i="1"/>
  <c r="O7" i="2"/>
  <c r="M25" i="2"/>
  <c r="O14" i="2"/>
  <c r="O8" i="2"/>
  <c r="E4" i="1"/>
  <c r="C5" i="1"/>
  <c r="M6" i="1" s="1"/>
  <c r="O17" i="1"/>
  <c r="M18" i="1" l="1"/>
  <c r="M25" i="1" s="1"/>
  <c r="O25" i="2"/>
  <c r="N26" i="2" s="1"/>
  <c r="D17" i="2" s="1"/>
  <c r="O6" i="1"/>
  <c r="E27" i="1"/>
  <c r="C27" i="1"/>
  <c r="O18" i="1" l="1"/>
  <c r="O25" i="1"/>
  <c r="N27" i="1" s="1"/>
  <c r="D18" i="1" s="1"/>
  <c r="N27" i="2"/>
  <c r="D18" i="2" s="1"/>
  <c r="N26" i="1"/>
  <c r="D17" i="1" s="1"/>
  <c r="C27" i="2"/>
  <c r="E19" i="2" l="1"/>
  <c r="E20" i="2" s="1"/>
  <c r="E27" i="2"/>
  <c r="E15" i="2" l="1"/>
  <c r="C4" i="1"/>
  <c r="E16" i="1" s="1"/>
  <c r="E15" i="1" l="1"/>
  <c r="D22" i="1"/>
  <c r="E19" i="1"/>
  <c r="E20" i="1" s="1"/>
  <c r="J11" i="2" l="1"/>
  <c r="E18" i="2" s="1"/>
  <c r="I11" i="2"/>
  <c r="E17" i="2" s="1"/>
  <c r="J11" i="1"/>
  <c r="E18" i="1" l="1"/>
  <c r="I11" i="1"/>
  <c r="E17" i="1" s="1"/>
</calcChain>
</file>

<file path=xl/sharedStrings.xml><?xml version="1.0" encoding="utf-8"?>
<sst xmlns="http://schemas.openxmlformats.org/spreadsheetml/2006/main" count="180" uniqueCount="92">
  <si>
    <t>Item</t>
  </si>
  <si>
    <t>Weight</t>
  </si>
  <si>
    <t>N</t>
  </si>
  <si>
    <t>Crew</t>
  </si>
  <si>
    <t>Jump Seat</t>
  </si>
  <si>
    <t>T</t>
  </si>
  <si>
    <t>Aft Ctr Fuel</t>
  </si>
  <si>
    <t>Oil (nom 50g)</t>
  </si>
  <si>
    <t>Payload -&gt;</t>
  </si>
  <si>
    <t>244.6-282.3</t>
  </si>
  <si>
    <t xml:space="preserve"> Gear DN </t>
  </si>
  <si>
    <t>AC WT</t>
  </si>
  <si>
    <t>AC ARM</t>
  </si>
  <si>
    <t>AC MOM</t>
  </si>
  <si>
    <t>240.4-280.8</t>
  </si>
  <si>
    <t>Gear UP</t>
  </si>
  <si>
    <t>Leg Dist -&gt;</t>
  </si>
  <si>
    <t>Ave GS -&gt;</t>
  </si>
  <si>
    <t>Arm</t>
  </si>
  <si>
    <t>CG Ck UP</t>
  </si>
  <si>
    <t>CG Ck DWN</t>
  </si>
  <si>
    <t>Revision Date:</t>
  </si>
  <si>
    <t>Aircraft</t>
  </si>
  <si>
    <t>Area A - Cockpit</t>
  </si>
  <si>
    <t>Winch Stowed Aft</t>
  </si>
  <si>
    <t>Ave GPH -&gt;</t>
  </si>
  <si>
    <t>.</t>
  </si>
  <si>
    <t>ENTER WEIGHT DISTRIBUTED in AREAS B thru E -&gt;</t>
  </si>
  <si>
    <r>
      <t xml:space="preserve">&lt;-in #s   </t>
    </r>
    <r>
      <rPr>
        <b/>
        <sz val="10"/>
        <rFont val="Tahoma"/>
        <family val="2"/>
      </rPr>
      <t>Fuel</t>
    </r>
    <r>
      <rPr>
        <sz val="10"/>
        <rFont val="Tahoma"/>
        <family val="2"/>
      </rPr>
      <t xml:space="preserve">  Gallons  -&gt;</t>
    </r>
  </si>
  <si>
    <t>Aircraft weight Date --&gt;</t>
  </si>
  <si>
    <t>Alcohol  (20 gal)</t>
  </si>
  <si>
    <t xml:space="preserve">Fwd Ctr Fuel </t>
  </si>
  <si>
    <t>Wing Fuel</t>
  </si>
  <si>
    <t xml:space="preserve">Aft Ctr Fuel </t>
  </si>
  <si>
    <t>*** When double seat installed in Sec B - Add Seat Weight of 40 lbs to Occupant Weight</t>
  </si>
  <si>
    <t>PER GOM Page B-1</t>
  </si>
  <si>
    <t>Av Gas 6.0 lb/gal</t>
  </si>
  <si>
    <t>Eng Oil 7.5 lb/gal</t>
  </si>
  <si>
    <t>Deice Ice Alcohol 6.6 lb/gal</t>
  </si>
  <si>
    <t>Alcohol  (20 gal) Full</t>
  </si>
  <si>
    <t>Weight    x  Arm   = Moment</t>
  </si>
  <si>
    <t>Aircraft As weighed</t>
  </si>
  <si>
    <t>Flight Crew</t>
  </si>
  <si>
    <t>Area A (radio rack)</t>
  </si>
  <si>
    <t>Fwd Double (40#)</t>
  </si>
  <si>
    <t>Aft Double (40#)</t>
  </si>
  <si>
    <t>Winch (115#) Mounted</t>
  </si>
  <si>
    <t>Aft Equip (450 max)</t>
  </si>
  <si>
    <t xml:space="preserve">Fdw Ctr Fuel </t>
  </si>
  <si>
    <t>Oil</t>
  </si>
  <si>
    <t>Alcohol</t>
  </si>
  <si>
    <t>Survival Gear</t>
  </si>
  <si>
    <t>Winch (115#) Stowed</t>
  </si>
  <si>
    <t>Stowed Equip</t>
  </si>
  <si>
    <t>TOTALS ---&gt;</t>
  </si>
  <si>
    <t>1st Dbl Seat Fwd Cabin ***</t>
  </si>
  <si>
    <t>2nd Dbl Seat Fwd Cabin ***</t>
  </si>
  <si>
    <t>Winch Mounted FWD</t>
  </si>
  <si>
    <t>Aft Stowed Equip (450#)</t>
  </si>
  <si>
    <t>Usable fuel = Fwd 389 gal, Aft 382 gal, Wing 818 gal</t>
  </si>
  <si>
    <t>Gear UP C.G. --&gt;</t>
  </si>
  <si>
    <t>Gear DN C.G. --&gt;</t>
  </si>
  <si>
    <t>As Weighed</t>
  </si>
  <si>
    <t>Aircraft weight does NOT include Winch,  Survival gear or Deice Alcohol</t>
  </si>
  <si>
    <t>Radio Rack</t>
  </si>
  <si>
    <t>7.5/gal</t>
  </si>
  <si>
    <t>6.6/gal</t>
  </si>
  <si>
    <t>Computed Cells            &lt;---</t>
  </si>
  <si>
    <t>Utilized % of Total Payload at B=</t>
  </si>
  <si>
    <t xml:space="preserve">B=16%, C=19.5%, D=33.5%, E=31% </t>
  </si>
  <si>
    <t>Area E (2,400# Max)</t>
  </si>
  <si>
    <t>Area D (3,200# Max)</t>
  </si>
  <si>
    <t>Area C (2,850# Max)</t>
  </si>
  <si>
    <t>Area B (1,620# Max)</t>
  </si>
  <si>
    <t>Area B (1620 max)</t>
  </si>
  <si>
    <t>Area C (2850 max)</t>
  </si>
  <si>
    <t>Area D (3200 max)</t>
  </si>
  <si>
    <t>Area E (2400 max)</t>
  </si>
  <si>
    <t>TransNorthern  Oct 2024 scale</t>
  </si>
  <si>
    <t>Survival Gear Stowed in Radio Rack - IF moved delete S/G weight and relocate weight at new FS</t>
  </si>
  <si>
    <t>LOADED  WT --&gt;</t>
  </si>
  <si>
    <t>Gross weight remaining -&gt;</t>
  </si>
  <si>
    <t>NOTE:  IN THIS CONFIGURATION</t>
  </si>
  <si>
    <t>THREE NETS ARE INSTALLED AT</t>
  </si>
  <si>
    <t>F.S. 165, F.S. 297.5 and F.S. 416.5</t>
  </si>
  <si>
    <t>at 6 lbs each</t>
  </si>
  <si>
    <t>Survival Gear Stowed fwd</t>
  </si>
  <si>
    <t>Survival Gear stowed fwd</t>
  </si>
  <si>
    <t>&gt;&gt;&gt;  OVERLOADED &lt;&lt;&lt;</t>
  </si>
  <si>
    <t>Start-Climb (gals) -&gt;</t>
  </si>
  <si>
    <t>Fuel Used (gals)-&gt;</t>
  </si>
  <si>
    <t>IFR RT Rqd (gals)-&gt;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</si>
</sst>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mm/dd/yy;@"/>
    <numFmt numFmtId="167" formatCode="#,##0.0"/>
  </numFmts>
  <fonts count="25" x14ac:knownFonts="1">
    <font>
      <sz val="10"/>
      <name val="Tahoma"/>
    </font>
    <font>
      <sz val="10"/>
      <color indexed="8"/>
      <name val="Tahoma"/>
      <family val="2"/>
    </font>
    <font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i/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Tahoma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b/>
      <i/>
      <sz val="8"/>
      <color indexed="8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sz val="9"/>
      <color indexed="8"/>
      <name val="Arial"/>
      <family val="2"/>
    </font>
    <font>
      <b/>
      <i/>
      <sz val="9"/>
      <name val="Tahoma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10"/>
      <name val="Tahoma"/>
      <family val="2"/>
    </font>
    <font>
      <sz val="8"/>
      <color indexed="8"/>
      <name val="Arial"/>
      <family val="2"/>
    </font>
    <font>
      <b/>
      <i/>
      <sz val="12"/>
      <color indexed="8"/>
      <name val="Arial"/>
      <family val="2"/>
    </font>
    <font>
      <b/>
      <sz val="9"/>
      <name val="Tahoma"/>
      <family val="2"/>
    </font>
    <font>
      <b/>
      <sz val="11"/>
      <name val="Tahoma"/>
      <family val="2"/>
    </font>
    <font>
      <b/>
      <sz val="12"/>
      <name val="Tahoma"/>
      <family val="2"/>
    </font>
    <font>
      <sz val="9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DotDot">
        <color auto="1"/>
      </left>
      <right style="dashDotDot">
        <color auto="1"/>
      </right>
      <top style="dashDotDot">
        <color auto="1"/>
      </top>
      <bottom/>
      <diagonal/>
    </border>
    <border>
      <left style="dashDotDot">
        <color auto="1"/>
      </left>
      <right style="dashDotDot">
        <color auto="1"/>
      </right>
      <top/>
      <bottom/>
      <diagonal/>
    </border>
    <border>
      <left style="dashDotDot">
        <color auto="1"/>
      </left>
      <right style="dashDotDot">
        <color auto="1"/>
      </right>
      <top/>
      <bottom style="dashDotDot">
        <color auto="1"/>
      </bottom>
      <diagonal/>
    </border>
    <border>
      <left style="dashDotDot">
        <color auto="1"/>
      </left>
      <right/>
      <top style="dashDotDot">
        <color auto="1"/>
      </top>
      <bottom style="dashDotDot">
        <color auto="1"/>
      </bottom>
      <diagonal/>
    </border>
    <border>
      <left/>
      <right/>
      <top style="dashDotDot">
        <color auto="1"/>
      </top>
      <bottom style="dashDotDot">
        <color auto="1"/>
      </bottom>
      <diagonal/>
    </border>
    <border>
      <left/>
      <right style="dashDotDot">
        <color auto="1"/>
      </right>
      <top style="dashDotDot">
        <color auto="1"/>
      </top>
      <bottom style="dashDotDot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3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3" fontId="8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center"/>
    </xf>
    <xf numFmtId="0" fontId="0" fillId="5" borderId="4" xfId="0" applyFill="1" applyBorder="1"/>
    <xf numFmtId="0" fontId="11" fillId="5" borderId="6" xfId="0" applyFont="1" applyFill="1" applyBorder="1" applyAlignment="1">
      <alignment horizontal="right"/>
    </xf>
    <xf numFmtId="14" fontId="0" fillId="5" borderId="2" xfId="0" applyNumberFormat="1" applyFill="1" applyBorder="1" applyAlignment="1">
      <alignment horizontal="left"/>
    </xf>
    <xf numFmtId="0" fontId="2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right"/>
    </xf>
    <xf numFmtId="2" fontId="12" fillId="6" borderId="2" xfId="0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3" fontId="6" fillId="7" borderId="1" xfId="0" applyNumberFormat="1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2" fontId="6" fillId="7" borderId="1" xfId="0" applyNumberFormat="1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8" borderId="5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7" fillId="8" borderId="7" xfId="0" applyFont="1" applyFill="1" applyBorder="1" applyAlignment="1">
      <alignment horizontal="left"/>
    </xf>
    <xf numFmtId="165" fontId="0" fillId="0" borderId="0" xfId="0" applyNumberFormat="1"/>
    <xf numFmtId="0" fontId="1" fillId="3" borderId="1" xfId="0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right"/>
    </xf>
    <xf numFmtId="3" fontId="12" fillId="11" borderId="1" xfId="0" applyNumberFormat="1" applyFont="1" applyFill="1" applyBorder="1" applyAlignment="1">
      <alignment horizontal="center"/>
    </xf>
    <xf numFmtId="0" fontId="12" fillId="0" borderId="0" xfId="0" applyFont="1"/>
    <xf numFmtId="166" fontId="15" fillId="0" borderId="11" xfId="0" applyNumberFormat="1" applyFont="1" applyBorder="1" applyAlignment="1">
      <alignment horizontal="center"/>
    </xf>
    <xf numFmtId="0" fontId="11" fillId="10" borderId="0" xfId="0" applyFont="1" applyFill="1"/>
    <xf numFmtId="0" fontId="0" fillId="10" borderId="0" xfId="0" applyFill="1"/>
    <xf numFmtId="3" fontId="12" fillId="11" borderId="12" xfId="0" applyNumberFormat="1" applyFont="1" applyFill="1" applyBorder="1" applyAlignment="1">
      <alignment horizontal="center"/>
    </xf>
    <xf numFmtId="0" fontId="16" fillId="0" borderId="13" xfId="0" applyFont="1" applyBorder="1"/>
    <xf numFmtId="0" fontId="17" fillId="0" borderId="14" xfId="0" applyFont="1" applyBorder="1"/>
    <xf numFmtId="0" fontId="17" fillId="0" borderId="15" xfId="0" applyFont="1" applyBorder="1"/>
    <xf numFmtId="0" fontId="0" fillId="0" borderId="0" xfId="0" applyAlignment="1">
      <alignment horizontal="right"/>
    </xf>
    <xf numFmtId="0" fontId="12" fillId="0" borderId="0" xfId="0" applyFont="1" applyAlignment="1">
      <alignment horizontal="right"/>
    </xf>
    <xf numFmtId="167" fontId="0" fillId="0" borderId="0" xfId="0" applyNumberFormat="1"/>
    <xf numFmtId="167" fontId="12" fillId="0" borderId="0" xfId="0" applyNumberFormat="1" applyFont="1"/>
    <xf numFmtId="167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164" fontId="0" fillId="0" borderId="0" xfId="0" applyNumberFormat="1" applyAlignment="1">
      <alignment horizontal="center"/>
    </xf>
    <xf numFmtId="164" fontId="12" fillId="0" borderId="0" xfId="0" applyNumberFormat="1" applyFont="1" applyAlignment="1">
      <alignment horizontal="center"/>
    </xf>
    <xf numFmtId="0" fontId="11" fillId="0" borderId="1" xfId="0" applyFont="1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6" xfId="0" applyBorder="1"/>
    <xf numFmtId="167" fontId="11" fillId="0" borderId="10" xfId="0" applyNumberFormat="1" applyFont="1" applyBorder="1" applyAlignment="1">
      <alignment horizontal="right"/>
    </xf>
    <xf numFmtId="167" fontId="11" fillId="0" borderId="0" xfId="0" applyNumberFormat="1" applyFont="1" applyAlignment="1">
      <alignment horizontal="right"/>
    </xf>
    <xf numFmtId="3" fontId="0" fillId="0" borderId="19" xfId="0" applyNumberFormat="1" applyBorder="1"/>
    <xf numFmtId="3" fontId="2" fillId="5" borderId="1" xfId="0" applyNumberFormat="1" applyFont="1" applyFill="1" applyBorder="1" applyAlignment="1" applyProtection="1">
      <alignment horizontal="center"/>
      <protection locked="0"/>
    </xf>
    <xf numFmtId="1" fontId="2" fillId="5" borderId="8" xfId="0" applyNumberFormat="1" applyFont="1" applyFill="1" applyBorder="1" applyAlignment="1" applyProtection="1">
      <alignment horizontal="center"/>
      <protection locked="0"/>
    </xf>
    <xf numFmtId="3" fontId="2" fillId="3" borderId="10" xfId="0" applyNumberFormat="1" applyFont="1" applyFill="1" applyBorder="1" applyAlignment="1" applyProtection="1">
      <alignment horizontal="center"/>
      <protection locked="0"/>
    </xf>
    <xf numFmtId="0" fontId="15" fillId="7" borderId="0" xfId="0" applyFont="1" applyFill="1" applyAlignment="1">
      <alignment horizontal="center"/>
    </xf>
    <xf numFmtId="37" fontId="4" fillId="6" borderId="4" xfId="0" applyNumberFormat="1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37" fontId="2" fillId="0" borderId="23" xfId="0" applyNumberFormat="1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3" fontId="2" fillId="0" borderId="25" xfId="0" applyNumberFormat="1" applyFont="1" applyBorder="1" applyAlignment="1">
      <alignment horizontal="center"/>
    </xf>
    <xf numFmtId="0" fontId="18" fillId="0" borderId="0" xfId="0" applyFont="1"/>
    <xf numFmtId="0" fontId="11" fillId="0" borderId="0" xfId="0" applyFont="1"/>
    <xf numFmtId="167" fontId="0" fillId="0" borderId="7" xfId="0" applyNumberFormat="1" applyBorder="1"/>
    <xf numFmtId="3" fontId="0" fillId="0" borderId="7" xfId="0" applyNumberFormat="1" applyBorder="1"/>
    <xf numFmtId="167" fontId="0" fillId="0" borderId="26" xfId="0" applyNumberFormat="1" applyBorder="1"/>
    <xf numFmtId="164" fontId="0" fillId="0" borderId="26" xfId="0" applyNumberFormat="1" applyBorder="1" applyAlignment="1">
      <alignment horizontal="center"/>
    </xf>
    <xf numFmtId="3" fontId="0" fillId="0" borderId="26" xfId="0" applyNumberFormat="1" applyBorder="1"/>
    <xf numFmtId="164" fontId="0" fillId="6" borderId="7" xfId="0" applyNumberFormat="1" applyFill="1" applyBorder="1" applyAlignment="1">
      <alignment horizontal="center"/>
    </xf>
    <xf numFmtId="3" fontId="2" fillId="3" borderId="1" xfId="0" applyNumberFormat="1" applyFont="1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19" fillId="0" borderId="0" xfId="0" applyFont="1" applyAlignment="1">
      <alignment horizontal="center"/>
    </xf>
    <xf numFmtId="0" fontId="20" fillId="7" borderId="0" xfId="0" applyFont="1" applyFill="1" applyAlignment="1">
      <alignment horizontal="center"/>
    </xf>
    <xf numFmtId="2" fontId="12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0" fontId="6" fillId="0" borderId="4" xfId="0" applyFont="1" applyBorder="1" applyAlignment="1">
      <alignment horizontal="center"/>
    </xf>
    <xf numFmtId="3" fontId="2" fillId="11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1" fontId="5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3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3" fontId="12" fillId="11" borderId="9" xfId="0" applyNumberFormat="1" applyFont="1" applyFill="1" applyBorder="1" applyAlignment="1">
      <alignment horizontal="center"/>
    </xf>
    <xf numFmtId="3" fontId="12" fillId="0" borderId="0" xfId="0" applyNumberFormat="1" applyFont="1" applyAlignment="1">
      <alignment horizontal="center"/>
    </xf>
    <xf numFmtId="164" fontId="0" fillId="6" borderId="26" xfId="0" applyNumberFormat="1" applyFill="1" applyBorder="1" applyAlignment="1">
      <alignment horizontal="center"/>
    </xf>
    <xf numFmtId="167" fontId="11" fillId="0" borderId="27" xfId="0" applyNumberFormat="1" applyFont="1" applyBorder="1" applyAlignment="1">
      <alignment horizontal="right"/>
    </xf>
    <xf numFmtId="2" fontId="0" fillId="0" borderId="7" xfId="0" applyNumberFormat="1" applyBorder="1" applyAlignment="1">
      <alignment horizontal="center"/>
    </xf>
    <xf numFmtId="3" fontId="0" fillId="0" borderId="28" xfId="0" applyNumberFormat="1" applyBorder="1"/>
    <xf numFmtId="0" fontId="11" fillId="0" borderId="16" xfId="0" applyFont="1" applyBorder="1"/>
    <xf numFmtId="0" fontId="13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3" fontId="2" fillId="8" borderId="1" xfId="0" applyNumberFormat="1" applyFont="1" applyFill="1" applyBorder="1" applyAlignment="1">
      <alignment horizontal="center"/>
    </xf>
    <xf numFmtId="0" fontId="6" fillId="7" borderId="7" xfId="0" applyFont="1" applyFill="1" applyBorder="1" applyAlignment="1">
      <alignment horizontal="right"/>
    </xf>
    <xf numFmtId="0" fontId="13" fillId="7" borderId="1" xfId="0" applyFont="1" applyFill="1" applyBorder="1" applyAlignment="1">
      <alignment horizontal="right"/>
    </xf>
    <xf numFmtId="37" fontId="4" fillId="11" borderId="4" xfId="0" applyNumberFormat="1" applyFont="1" applyFill="1" applyBorder="1" applyAlignment="1">
      <alignment horizontal="center"/>
    </xf>
    <xf numFmtId="2" fontId="12" fillId="11" borderId="2" xfId="0" applyNumberFormat="1" applyFont="1" applyFill="1" applyBorder="1" applyAlignment="1">
      <alignment horizontal="center"/>
    </xf>
    <xf numFmtId="0" fontId="0" fillId="11" borderId="30" xfId="0" applyFill="1" applyBorder="1"/>
    <xf numFmtId="0" fontId="0" fillId="11" borderId="31" xfId="0" applyFill="1" applyBorder="1"/>
    <xf numFmtId="0" fontId="0" fillId="11" borderId="32" xfId="0" applyFill="1" applyBorder="1"/>
    <xf numFmtId="0" fontId="0" fillId="11" borderId="33" xfId="0" applyFill="1" applyBorder="1"/>
    <xf numFmtId="0" fontId="0" fillId="11" borderId="0" xfId="0" applyFill="1"/>
    <xf numFmtId="0" fontId="0" fillId="11" borderId="34" xfId="0" applyFill="1" applyBorder="1"/>
    <xf numFmtId="0" fontId="0" fillId="11" borderId="35" xfId="0" applyFill="1" applyBorder="1"/>
    <xf numFmtId="0" fontId="0" fillId="11" borderId="36" xfId="0" applyFill="1" applyBorder="1"/>
    <xf numFmtId="0" fontId="0" fillId="11" borderId="37" xfId="0" applyFill="1" applyBorder="1"/>
    <xf numFmtId="3" fontId="2" fillId="3" borderId="2" xfId="0" applyNumberFormat="1" applyFont="1" applyFill="1" applyBorder="1" applyAlignment="1" applyProtection="1">
      <alignment horizontal="center"/>
      <protection locked="0"/>
    </xf>
    <xf numFmtId="1" fontId="5" fillId="9" borderId="8" xfId="0" applyNumberFormat="1" applyFont="1" applyFill="1" applyBorder="1" applyAlignment="1" applyProtection="1">
      <alignment horizontal="center"/>
      <protection locked="0"/>
    </xf>
    <xf numFmtId="0" fontId="10" fillId="4" borderId="29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4" fillId="0" borderId="0" xfId="0" applyFont="1" applyAlignment="1">
      <alignment horizontal="right"/>
    </xf>
    <xf numFmtId="0" fontId="21" fillId="11" borderId="28" xfId="0" applyFont="1" applyFill="1" applyBorder="1" applyAlignment="1">
      <alignment horizontal="center" vertical="center" wrapText="1"/>
    </xf>
    <xf numFmtId="0" fontId="21" fillId="11" borderId="0" xfId="0" applyFont="1" applyFill="1" applyAlignment="1">
      <alignment horizontal="center" vertical="center" wrapText="1"/>
    </xf>
    <xf numFmtId="0" fontId="21" fillId="0" borderId="0" xfId="0" applyFont="1" applyFill="1"/>
    <xf numFmtId="0" fontId="24" fillId="0" borderId="0" xfId="0" applyFont="1" applyFill="1"/>
    <xf numFmtId="0" fontId="1" fillId="0" borderId="3" xfId="0" applyFont="1" applyBorder="1" applyAlignment="1">
      <alignment horizontal="right"/>
    </xf>
    <xf numFmtId="0" fontId="7" fillId="3" borderId="3" xfId="0" applyFont="1" applyFill="1" applyBorder="1" applyAlignment="1">
      <alignment horizontal="center"/>
    </xf>
    <xf numFmtId="3" fontId="12" fillId="5" borderId="38" xfId="0" applyNumberFormat="1" applyFont="1" applyFill="1" applyBorder="1" applyAlignment="1" applyProtection="1">
      <alignment horizontal="center"/>
      <protection locked="0"/>
    </xf>
    <xf numFmtId="0" fontId="22" fillId="0" borderId="39" xfId="0" applyFont="1" applyBorder="1"/>
    <xf numFmtId="0" fontId="0" fillId="0" borderId="12" xfId="0" applyBorder="1"/>
    <xf numFmtId="0" fontId="7" fillId="3" borderId="3" xfId="0" applyFont="1" applyFill="1" applyBorder="1" applyAlignment="1" applyProtection="1">
      <alignment horizontal="center"/>
      <protection locked="0"/>
    </xf>
    <xf numFmtId="0" fontId="23" fillId="0" borderId="39" xfId="0" applyFont="1" applyBorder="1"/>
    <xf numFmtId="0" fontId="7" fillId="7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71438</xdr:colOff>
      <xdr:row>22</xdr:row>
      <xdr:rowOff>61913</xdr:rowOff>
    </xdr:from>
    <xdr:to>
      <xdr:col>6</xdr:col>
      <xdr:colOff>133351</xdr:colOff>
      <xdr:row>22</xdr:row>
      <xdr:rowOff>61913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D37B377C-BAE5-41E1-A478-0C1AE1CCE254}"/>
            </a:ext>
          </a:extLst>
        </xdr:cNvPr>
        <xdr:cNvCxnSpPr/>
      </xdr:nvCxnSpPr>
      <xdr:spPr>
        <a:xfrm>
          <a:off x="5157788" y="3814763"/>
          <a:ext cx="261938" cy="0"/>
        </a:xfrm>
        <a:prstGeom prst="line">
          <a:avLst/>
        </a:prstGeom>
        <a:ln w="38100">
          <a:headEnd type="none" w="med" len="med"/>
          <a:tailEnd type="arrow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161925</xdr:colOff>
      <xdr:row>10</xdr:row>
      <xdr:rowOff>28575</xdr:rowOff>
    </xdr:from>
    <xdr:to>
      <xdr:col>6</xdr:col>
      <xdr:colOff>166688</xdr:colOff>
      <xdr:row>22</xdr:row>
      <xdr:rowOff>71438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ED0FA68E-67DB-4666-BBFE-40EC165E76D7}"/>
            </a:ext>
          </a:extLst>
        </xdr:cNvPr>
        <xdr:cNvCxnSpPr/>
      </xdr:nvCxnSpPr>
      <xdr:spPr>
        <a:xfrm flipH="1" flipV="1">
          <a:off x="5467350" y="1752600"/>
          <a:ext cx="4763" cy="2071688"/>
        </a:xfrm>
        <a:prstGeom prst="line">
          <a:avLst/>
        </a:prstGeom>
        <a:ln w="38100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3"/>
  <sheetViews>
    <sheetView showGridLines="0" tabSelected="1" zoomScaleNormal="100" workbookViewId="0"/>
  </sheetViews>
  <sheetFormatPr defaultColWidth="8.42578125" defaultRowHeight="12.75" x14ac:dyDescent="0.2"/>
  <cols>
    <col min="1" max="1" width="6" style="1" customWidth="1"/>
    <col min="2" max="2" width="23.5703125" customWidth="1"/>
    <col min="3" max="3" width="11" customWidth="1"/>
    <col min="4" max="4" width="21.7109375" customWidth="1"/>
    <col min="5" max="5" width="13.5703125" bestFit="1" customWidth="1"/>
    <col min="6" max="6" width="6.85546875" bestFit="1" customWidth="1"/>
    <col min="7" max="7" width="2" customWidth="1"/>
    <col min="8" max="9" width="8.42578125" customWidth="1"/>
    <col min="10" max="10" width="13.5703125" bestFit="1" customWidth="1"/>
    <col min="11" max="11" width="3.85546875" customWidth="1"/>
    <col min="12" max="12" width="20.140625" bestFit="1" customWidth="1"/>
    <col min="13" max="13" width="10" style="44" customWidth="1"/>
    <col min="14" max="14" width="8.42578125" style="49"/>
    <col min="15" max="15" width="10.7109375" style="47" customWidth="1"/>
    <col min="16" max="16" width="8.42578125" customWidth="1"/>
  </cols>
  <sheetData>
    <row r="1" spans="1:17" ht="13.5" thickBot="1" x14ac:dyDescent="0.25"/>
    <row r="2" spans="1:17" ht="14.25" thickTop="1" thickBot="1" x14ac:dyDescent="0.25">
      <c r="D2" s="61" t="s">
        <v>29</v>
      </c>
      <c r="E2" s="35">
        <v>45567</v>
      </c>
    </row>
    <row r="3" spans="1:17" ht="14.1" customHeight="1" thickTop="1" x14ac:dyDescent="0.2">
      <c r="B3" s="2" t="s">
        <v>0</v>
      </c>
      <c r="C3" s="2" t="s">
        <v>1</v>
      </c>
    </row>
    <row r="4" spans="1:17" ht="14.1" customHeight="1" thickBot="1" x14ac:dyDescent="0.25">
      <c r="A4" s="81" t="s">
        <v>2</v>
      </c>
      <c r="B4" s="16" t="s">
        <v>22</v>
      </c>
      <c r="C4" s="62">
        <f>H6</f>
        <v>20931</v>
      </c>
      <c r="D4" s="17" t="s">
        <v>18</v>
      </c>
      <c r="E4" s="18">
        <f>I6</f>
        <v>244.3941999904448</v>
      </c>
      <c r="I4" s="70" t="s">
        <v>62</v>
      </c>
      <c r="L4" s="103" t="s">
        <v>0</v>
      </c>
      <c r="M4" s="45" t="s">
        <v>40</v>
      </c>
      <c r="N4" s="50"/>
    </row>
    <row r="5" spans="1:17" ht="14.1" customHeight="1" thickTop="1" x14ac:dyDescent="0.2">
      <c r="A5" s="81">
        <v>2</v>
      </c>
      <c r="B5" s="3" t="s">
        <v>3</v>
      </c>
      <c r="C5" s="78">
        <f>400</f>
        <v>400</v>
      </c>
      <c r="D5" s="2" t="s">
        <v>0</v>
      </c>
      <c r="E5" s="2" t="s">
        <v>1</v>
      </c>
      <c r="H5" s="64" t="s">
        <v>11</v>
      </c>
      <c r="I5" s="65" t="s">
        <v>12</v>
      </c>
      <c r="J5" s="66" t="s">
        <v>13</v>
      </c>
      <c r="L5" s="42" t="s">
        <v>41</v>
      </c>
      <c r="M5" s="46">
        <f>H6</f>
        <v>20931</v>
      </c>
      <c r="N5" s="104">
        <f>I6</f>
        <v>244.3941999904448</v>
      </c>
      <c r="O5" s="48">
        <f>M5*N5</f>
        <v>5115415</v>
      </c>
    </row>
    <row r="6" spans="1:17" ht="14.1" customHeight="1" thickBot="1" x14ac:dyDescent="0.25">
      <c r="A6" s="81">
        <v>8</v>
      </c>
      <c r="B6" s="3" t="s">
        <v>4</v>
      </c>
      <c r="C6" s="78">
        <v>260</v>
      </c>
      <c r="D6" s="12" t="s">
        <v>23</v>
      </c>
      <c r="E6" s="120">
        <v>0</v>
      </c>
      <c r="H6" s="67">
        <v>20931</v>
      </c>
      <c r="I6" s="68">
        <f>J6/H6</f>
        <v>244.3941999904448</v>
      </c>
      <c r="J6" s="69">
        <v>5115415</v>
      </c>
      <c r="L6" s="42" t="s">
        <v>42</v>
      </c>
      <c r="M6" s="46">
        <f>C5</f>
        <v>400</v>
      </c>
      <c r="N6" s="19">
        <v>31</v>
      </c>
      <c r="O6" s="48">
        <f t="shared" ref="O6:O24" si="0">M6*N6</f>
        <v>12400</v>
      </c>
    </row>
    <row r="7" spans="1:17" ht="14.1" customHeight="1" thickTop="1" x14ac:dyDescent="0.2">
      <c r="A7" s="81" t="s">
        <v>5</v>
      </c>
      <c r="B7" s="3" t="s">
        <v>31</v>
      </c>
      <c r="C7" s="78">
        <f>400*6</f>
        <v>2400</v>
      </c>
      <c r="D7" s="12" t="s">
        <v>73</v>
      </c>
      <c r="E7" s="120">
        <v>800</v>
      </c>
      <c r="L7" s="42" t="s">
        <v>4</v>
      </c>
      <c r="M7" s="46">
        <f>C6</f>
        <v>260</v>
      </c>
      <c r="N7" s="19">
        <v>75</v>
      </c>
      <c r="O7" s="48">
        <f t="shared" si="0"/>
        <v>19500</v>
      </c>
      <c r="P7" s="2"/>
      <c r="Q7" s="2"/>
    </row>
    <row r="8" spans="1:17" ht="14.1" customHeight="1" x14ac:dyDescent="0.2">
      <c r="A8" s="81" t="s">
        <v>2</v>
      </c>
      <c r="B8" s="3" t="s">
        <v>6</v>
      </c>
      <c r="C8" s="78">
        <v>1200</v>
      </c>
      <c r="D8" s="12" t="s">
        <v>72</v>
      </c>
      <c r="E8" s="120">
        <v>975</v>
      </c>
      <c r="H8" s="13"/>
      <c r="I8" s="14" t="s">
        <v>21</v>
      </c>
      <c r="J8" s="15">
        <f>E2</f>
        <v>45567</v>
      </c>
      <c r="L8" s="42" t="s">
        <v>43</v>
      </c>
      <c r="M8" s="46">
        <f>E6</f>
        <v>0</v>
      </c>
      <c r="N8" s="19">
        <v>80</v>
      </c>
      <c r="O8" s="48">
        <f t="shared" si="0"/>
        <v>0</v>
      </c>
    </row>
    <row r="9" spans="1:17" ht="14.1" customHeight="1" x14ac:dyDescent="0.2">
      <c r="B9" s="3" t="s">
        <v>32</v>
      </c>
      <c r="C9" s="78">
        <v>0</v>
      </c>
      <c r="D9" s="12" t="s">
        <v>71</v>
      </c>
      <c r="E9" s="120">
        <v>1675</v>
      </c>
      <c r="L9" s="42" t="s">
        <v>44</v>
      </c>
      <c r="M9" s="46">
        <f>C10</f>
        <v>0</v>
      </c>
      <c r="N9" s="19">
        <v>126</v>
      </c>
      <c r="O9" s="48">
        <f t="shared" si="0"/>
        <v>0</v>
      </c>
    </row>
    <row r="10" spans="1:17" ht="14.1" customHeight="1" x14ac:dyDescent="0.2">
      <c r="B10" s="3" t="s">
        <v>55</v>
      </c>
      <c r="C10" s="58">
        <v>0</v>
      </c>
      <c r="D10" s="12" t="s">
        <v>70</v>
      </c>
      <c r="E10" s="120">
        <v>1550</v>
      </c>
      <c r="I10" s="4" t="s">
        <v>19</v>
      </c>
      <c r="J10" s="4" t="s">
        <v>20</v>
      </c>
      <c r="L10" s="42" t="s">
        <v>45</v>
      </c>
      <c r="M10" s="46">
        <f>C11</f>
        <v>0</v>
      </c>
      <c r="N10" s="19">
        <v>170</v>
      </c>
      <c r="O10" s="48">
        <f t="shared" si="0"/>
        <v>0</v>
      </c>
    </row>
    <row r="11" spans="1:17" ht="14.1" customHeight="1" x14ac:dyDescent="0.2">
      <c r="B11" s="3" t="s">
        <v>56</v>
      </c>
      <c r="C11" s="58">
        <v>0</v>
      </c>
      <c r="D11" s="12" t="s">
        <v>58</v>
      </c>
      <c r="E11" s="120">
        <v>50</v>
      </c>
      <c r="I11" s="8" t="str">
        <f>IF(D17&lt;282.3,"&lt;-OK","BAD!")</f>
        <v>&lt;-OK</v>
      </c>
      <c r="J11" s="8" t="str">
        <f>IF(D17&lt;280.8,"&lt;-OK","BAD!")</f>
        <v>&lt;-OK</v>
      </c>
      <c r="L11" s="42" t="s">
        <v>46</v>
      </c>
      <c r="M11" s="46">
        <f>E13</f>
        <v>0</v>
      </c>
      <c r="N11" s="19">
        <v>105</v>
      </c>
      <c r="O11" s="48">
        <f t="shared" si="0"/>
        <v>0</v>
      </c>
    </row>
    <row r="12" spans="1:17" ht="14.1" customHeight="1" x14ac:dyDescent="0.2">
      <c r="A12" s="80" t="s">
        <v>65</v>
      </c>
      <c r="B12" s="3" t="s">
        <v>7</v>
      </c>
      <c r="C12" s="78">
        <v>0</v>
      </c>
      <c r="D12" s="3" t="s">
        <v>64</v>
      </c>
      <c r="E12" s="60"/>
      <c r="L12" s="32" t="s">
        <v>74</v>
      </c>
      <c r="M12" s="46">
        <f>E7</f>
        <v>800</v>
      </c>
      <c r="N12" s="19">
        <v>140.30000000000001</v>
      </c>
      <c r="O12" s="48">
        <f t="shared" si="0"/>
        <v>112240.00000000001</v>
      </c>
    </row>
    <row r="13" spans="1:17" ht="14.1" customHeight="1" x14ac:dyDescent="0.2">
      <c r="A13" s="80" t="s">
        <v>66</v>
      </c>
      <c r="B13" s="102" t="s">
        <v>39</v>
      </c>
      <c r="C13" s="78">
        <f>20*6.6</f>
        <v>132</v>
      </c>
      <c r="D13" s="51" t="s">
        <v>57</v>
      </c>
      <c r="E13" s="78">
        <v>0</v>
      </c>
      <c r="I13" s="127" t="s">
        <v>88</v>
      </c>
      <c r="J13" s="128"/>
      <c r="L13" s="32" t="s">
        <v>75</v>
      </c>
      <c r="M13" s="46">
        <f>E8</f>
        <v>975</v>
      </c>
      <c r="N13" s="19">
        <v>235.3</v>
      </c>
      <c r="O13" s="48">
        <f t="shared" si="0"/>
        <v>229417.5</v>
      </c>
    </row>
    <row r="14" spans="1:17" ht="14.1" customHeight="1" x14ac:dyDescent="0.2">
      <c r="B14" s="102" t="s">
        <v>86</v>
      </c>
      <c r="C14" s="78">
        <v>22</v>
      </c>
      <c r="D14" s="3" t="s">
        <v>24</v>
      </c>
      <c r="E14" s="121">
        <v>115</v>
      </c>
      <c r="L14" s="32" t="s">
        <v>76</v>
      </c>
      <c r="M14" s="46">
        <f>E9</f>
        <v>1675</v>
      </c>
      <c r="N14" s="19">
        <v>352</v>
      </c>
      <c r="O14" s="48">
        <f t="shared" si="0"/>
        <v>589600</v>
      </c>
    </row>
    <row r="15" spans="1:17" ht="14.1" customHeight="1" x14ac:dyDescent="0.2">
      <c r="B15" s="20" t="s">
        <v>8</v>
      </c>
      <c r="C15" s="21">
        <f>SUM(E6:E10)</f>
        <v>5000</v>
      </c>
      <c r="D15" s="108" t="s">
        <v>81</v>
      </c>
      <c r="E15" s="21">
        <f>31000-E16</f>
        <v>512</v>
      </c>
      <c r="L15" s="32" t="s">
        <v>77</v>
      </c>
      <c r="M15" s="46">
        <f>E10</f>
        <v>1550</v>
      </c>
      <c r="N15" s="19">
        <v>496</v>
      </c>
      <c r="O15" s="48">
        <f t="shared" si="0"/>
        <v>768800</v>
      </c>
    </row>
    <row r="16" spans="1:17" ht="14.1" customHeight="1" x14ac:dyDescent="0.2">
      <c r="B16" s="122" t="s">
        <v>78</v>
      </c>
      <c r="C16" s="123"/>
      <c r="D16" s="107" t="s">
        <v>80</v>
      </c>
      <c r="E16" s="21">
        <f>SUM(C4:C13)+SUM(E6:E14)</f>
        <v>30488</v>
      </c>
      <c r="L16" s="42" t="s">
        <v>47</v>
      </c>
      <c r="M16" s="46">
        <f>E11</f>
        <v>50</v>
      </c>
      <c r="N16" s="19">
        <v>600</v>
      </c>
      <c r="O16" s="48">
        <f t="shared" si="0"/>
        <v>30000</v>
      </c>
    </row>
    <row r="17" spans="2:15" x14ac:dyDescent="0.2">
      <c r="B17" s="24" t="s">
        <v>9</v>
      </c>
      <c r="C17" s="22" t="s">
        <v>10</v>
      </c>
      <c r="D17" s="23">
        <f>N26</f>
        <v>259.93758180628271</v>
      </c>
      <c r="E17" s="136" t="str">
        <f>IF(D17&gt;244.6,I11,"&lt;-BAD!")</f>
        <v>&lt;-OK</v>
      </c>
      <c r="L17" s="42" t="s">
        <v>48</v>
      </c>
      <c r="M17" s="46">
        <f>C7</f>
        <v>2400</v>
      </c>
      <c r="N17" s="19">
        <v>240.5</v>
      </c>
      <c r="O17" s="48">
        <f t="shared" si="0"/>
        <v>577200</v>
      </c>
    </row>
    <row r="18" spans="2:15" x14ac:dyDescent="0.2">
      <c r="B18" s="25" t="s">
        <v>14</v>
      </c>
      <c r="C18" s="26" t="s">
        <v>15</v>
      </c>
      <c r="D18" s="27">
        <f>N27</f>
        <v>258.98862892670155</v>
      </c>
      <c r="E18" s="28" t="str">
        <f>IF(D18&gt;240.4,J11,"&lt;-BAD!")</f>
        <v>&lt;-OK</v>
      </c>
      <c r="L18" s="42" t="s">
        <v>6</v>
      </c>
      <c r="M18" s="46">
        <f>C8</f>
        <v>1200</v>
      </c>
      <c r="N18" s="19">
        <v>275.89999999999998</v>
      </c>
      <c r="O18" s="48">
        <f t="shared" si="0"/>
        <v>331080</v>
      </c>
    </row>
    <row r="19" spans="2:15" x14ac:dyDescent="0.2">
      <c r="B19" s="5" t="s">
        <v>16</v>
      </c>
      <c r="C19" s="30">
        <v>315</v>
      </c>
      <c r="D19" s="6" t="s">
        <v>90</v>
      </c>
      <c r="E19" s="7">
        <f>(((C19/C21)+0.1)*C20)+E21</f>
        <v>297.90625</v>
      </c>
      <c r="L19" s="42" t="s">
        <v>32</v>
      </c>
      <c r="M19" s="46">
        <f>C9</f>
        <v>0</v>
      </c>
      <c r="N19" s="19">
        <v>272.10000000000002</v>
      </c>
      <c r="O19" s="48">
        <f t="shared" si="0"/>
        <v>0</v>
      </c>
    </row>
    <row r="20" spans="2:15" ht="13.5" customHeight="1" x14ac:dyDescent="0.2">
      <c r="B20" s="6" t="s">
        <v>25</v>
      </c>
      <c r="C20" s="31">
        <v>115</v>
      </c>
      <c r="D20" s="6" t="s">
        <v>91</v>
      </c>
      <c r="E20" s="7">
        <f>75+E19+E19</f>
        <v>670.8125</v>
      </c>
      <c r="L20" s="42" t="s">
        <v>49</v>
      </c>
      <c r="M20" s="46">
        <f>C12</f>
        <v>0</v>
      </c>
      <c r="N20" s="19">
        <v>185</v>
      </c>
      <c r="O20" s="48">
        <f t="shared" si="0"/>
        <v>0</v>
      </c>
    </row>
    <row r="21" spans="2:15" ht="13.5" thickBot="1" x14ac:dyDescent="0.25">
      <c r="B21" s="6" t="s">
        <v>17</v>
      </c>
      <c r="C21" s="31">
        <v>160</v>
      </c>
      <c r="D21" s="129" t="s">
        <v>89</v>
      </c>
      <c r="E21" s="134">
        <v>60</v>
      </c>
      <c r="L21" s="42" t="s">
        <v>50</v>
      </c>
      <c r="M21" s="46">
        <f>C13</f>
        <v>132</v>
      </c>
      <c r="N21" s="19">
        <v>420</v>
      </c>
      <c r="O21" s="48">
        <f t="shared" si="0"/>
        <v>55440</v>
      </c>
    </row>
    <row r="22" spans="2:15" ht="14.25" customHeight="1" thickBot="1" x14ac:dyDescent="0.25">
      <c r="D22" s="135" t="str">
        <f>+IF(E16&gt;31000,I13," ")</f>
        <v xml:space="preserve"> </v>
      </c>
      <c r="E22" s="133"/>
      <c r="L22" s="42" t="s">
        <v>51</v>
      </c>
      <c r="M22" s="46">
        <f>C14</f>
        <v>22</v>
      </c>
      <c r="N22" s="19">
        <v>80</v>
      </c>
      <c r="O22" s="48">
        <f t="shared" si="0"/>
        <v>1760</v>
      </c>
    </row>
    <row r="23" spans="2:15" x14ac:dyDescent="0.2">
      <c r="B23" s="36" t="s">
        <v>34</v>
      </c>
      <c r="C23" s="37"/>
      <c r="D23" s="37"/>
      <c r="E23" s="37"/>
      <c r="F23" s="37"/>
      <c r="L23" s="42" t="s">
        <v>52</v>
      </c>
      <c r="M23" s="46">
        <f>E14</f>
        <v>115</v>
      </c>
      <c r="N23" s="19">
        <v>616</v>
      </c>
      <c r="O23" s="48">
        <f t="shared" si="0"/>
        <v>70840</v>
      </c>
    </row>
    <row r="24" spans="2:15" ht="13.5" thickBot="1" x14ac:dyDescent="0.25">
      <c r="B24" s="37" t="s">
        <v>63</v>
      </c>
      <c r="C24" s="37"/>
      <c r="D24" s="37"/>
      <c r="E24" s="37"/>
      <c r="F24" s="37"/>
      <c r="L24" s="42" t="s">
        <v>53</v>
      </c>
      <c r="M24" s="74">
        <f>E11</f>
        <v>50</v>
      </c>
      <c r="N24" s="75">
        <v>600</v>
      </c>
      <c r="O24" s="76">
        <f t="shared" si="0"/>
        <v>30000</v>
      </c>
    </row>
    <row r="25" spans="2:15" ht="13.5" thickTop="1" x14ac:dyDescent="0.2">
      <c r="B25" s="71" t="s">
        <v>79</v>
      </c>
      <c r="L25" s="43" t="s">
        <v>54</v>
      </c>
      <c r="M25" s="72">
        <f>SUM(M5:M24)</f>
        <v>30560</v>
      </c>
      <c r="N25" s="77"/>
      <c r="O25" s="73">
        <f>SUM(O5:O24)</f>
        <v>7943692.5</v>
      </c>
    </row>
    <row r="26" spans="2:15" ht="13.5" thickBot="1" x14ac:dyDescent="0.25">
      <c r="H26" s="10"/>
      <c r="M26" s="55" t="s">
        <v>61</v>
      </c>
      <c r="N26" s="63">
        <f>O25/M25</f>
        <v>259.93758180628271</v>
      </c>
      <c r="O26" s="57"/>
    </row>
    <row r="27" spans="2:15" ht="13.5" thickBot="1" x14ac:dyDescent="0.25">
      <c r="B27" s="39" t="s">
        <v>35</v>
      </c>
      <c r="C27" s="38">
        <f>C6+C7+C8</f>
        <v>3860</v>
      </c>
      <c r="D27" s="32" t="s">
        <v>28</v>
      </c>
      <c r="E27" s="33">
        <f>SUM(C6:C8)/6</f>
        <v>643.33333333333337</v>
      </c>
      <c r="F27" s="9"/>
      <c r="G27" s="9"/>
      <c r="H27" s="11"/>
      <c r="M27" s="56" t="s">
        <v>60</v>
      </c>
      <c r="N27" s="63">
        <f>(O25-29000)/M25</f>
        <v>258.98862892670155</v>
      </c>
    </row>
    <row r="28" spans="2:15" x14ac:dyDescent="0.2">
      <c r="B28" s="40" t="s">
        <v>36</v>
      </c>
      <c r="C28" s="34"/>
      <c r="F28" s="9"/>
      <c r="G28" s="9"/>
      <c r="H28" s="11"/>
    </row>
    <row r="29" spans="2:15" x14ac:dyDescent="0.2">
      <c r="B29" s="40" t="s">
        <v>37</v>
      </c>
      <c r="C29" s="54" t="s">
        <v>59</v>
      </c>
      <c r="D29" s="52"/>
      <c r="E29" s="53"/>
      <c r="F29" s="9"/>
      <c r="G29" s="9"/>
      <c r="H29" s="11"/>
    </row>
    <row r="30" spans="2:15" x14ac:dyDescent="0.2">
      <c r="B30" s="41" t="s">
        <v>38</v>
      </c>
      <c r="F30" s="9"/>
      <c r="G30" s="9"/>
      <c r="H30" s="11"/>
    </row>
    <row r="31" spans="2:15" x14ac:dyDescent="0.2">
      <c r="F31" s="9"/>
      <c r="G31" s="9"/>
      <c r="H31" s="11"/>
    </row>
    <row r="32" spans="2:15" x14ac:dyDescent="0.2">
      <c r="F32" s="9"/>
      <c r="G32" s="9"/>
      <c r="H32" s="11"/>
    </row>
    <row r="33" spans="4:7" x14ac:dyDescent="0.2">
      <c r="D33" t="s">
        <v>26</v>
      </c>
      <c r="F33" s="9"/>
      <c r="G33" s="9"/>
    </row>
  </sheetData>
  <sheetProtection sheet="1" objects="1" scenarios="1"/>
  <mergeCells count="1">
    <mergeCell ref="B16:C16"/>
  </mergeCells>
  <printOptions horizontalCentered="1" verticalCentered="1"/>
  <pageMargins left="0.75" right="0.75" top="1" bottom="1" header="0.5" footer="0.5"/>
  <pageSetup orientation="portrait" horizontalDpi="4294967293" verticalDpi="4294967293" r:id="rId1"/>
  <headerFooter alignWithMargins="0"/>
  <ignoredErrors>
    <ignoredError sqref="C5:C7 C11:C13 C9" unlockedFormula="1"/>
    <ignoredError sqref="C1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77AA6-30B1-4310-957F-604D0B6B0A92}">
  <dimension ref="A1:O34"/>
  <sheetViews>
    <sheetView showGridLines="0" zoomScaleNormal="100" workbookViewId="0">
      <selection activeCell="I36" sqref="I36"/>
    </sheetView>
  </sheetViews>
  <sheetFormatPr defaultColWidth="8.42578125" defaultRowHeight="12.75" x14ac:dyDescent="0.2"/>
  <cols>
    <col min="1" max="1" width="6" style="1" customWidth="1"/>
    <col min="2" max="2" width="23.28515625" customWidth="1"/>
    <col min="3" max="3" width="11" customWidth="1"/>
    <col min="4" max="4" width="21.7109375" customWidth="1"/>
    <col min="5" max="5" width="14.5703125" customWidth="1"/>
    <col min="6" max="6" width="3" customWidth="1"/>
    <col min="7" max="7" width="6.85546875" bestFit="1" customWidth="1"/>
    <col min="8" max="9" width="8.42578125" customWidth="1"/>
    <col min="10" max="10" width="13.5703125" bestFit="1" customWidth="1"/>
    <col min="11" max="11" width="4.7109375" customWidth="1"/>
    <col min="12" max="12" width="20.140625" bestFit="1" customWidth="1"/>
    <col min="15" max="15" width="9.140625" bestFit="1" customWidth="1"/>
  </cols>
  <sheetData>
    <row r="1" spans="1:15" ht="13.5" thickBot="1" x14ac:dyDescent="0.25">
      <c r="M1" s="44"/>
      <c r="N1" s="49"/>
      <c r="O1" s="47"/>
    </row>
    <row r="2" spans="1:15" ht="14.25" thickTop="1" thickBot="1" x14ac:dyDescent="0.25">
      <c r="D2" s="61" t="s">
        <v>29</v>
      </c>
      <c r="E2" s="35">
        <v>45567</v>
      </c>
      <c r="M2" s="44"/>
      <c r="N2" s="49"/>
      <c r="O2" s="47"/>
    </row>
    <row r="3" spans="1:15" ht="14.1" customHeight="1" thickTop="1" x14ac:dyDescent="0.2">
      <c r="B3" s="2" t="s">
        <v>0</v>
      </c>
      <c r="C3" s="2" t="s">
        <v>1</v>
      </c>
      <c r="M3" s="44"/>
      <c r="N3" s="49"/>
      <c r="O3" s="47"/>
    </row>
    <row r="4" spans="1:15" ht="14.1" customHeight="1" thickBot="1" x14ac:dyDescent="0.25">
      <c r="A4" s="81" t="s">
        <v>2</v>
      </c>
      <c r="B4" s="16" t="s">
        <v>22</v>
      </c>
      <c r="C4" s="109">
        <v>20949</v>
      </c>
      <c r="D4" s="17" t="s">
        <v>18</v>
      </c>
      <c r="E4" s="110">
        <v>244.53</v>
      </c>
      <c r="F4" s="82"/>
      <c r="I4" s="70" t="s">
        <v>62</v>
      </c>
      <c r="L4" s="34" t="s">
        <v>0</v>
      </c>
      <c r="M4" s="45" t="s">
        <v>40</v>
      </c>
      <c r="N4" s="50"/>
      <c r="O4" s="47"/>
    </row>
    <row r="5" spans="1:15" ht="14.1" customHeight="1" thickTop="1" x14ac:dyDescent="0.2">
      <c r="A5" s="81">
        <v>2</v>
      </c>
      <c r="B5" s="3" t="s">
        <v>3</v>
      </c>
      <c r="C5" s="78">
        <f>220+180</f>
        <v>400</v>
      </c>
      <c r="D5" s="2" t="s">
        <v>0</v>
      </c>
      <c r="E5" s="2" t="s">
        <v>1</v>
      </c>
      <c r="F5" s="2"/>
      <c r="H5" s="64" t="s">
        <v>11</v>
      </c>
      <c r="I5" s="65" t="s">
        <v>12</v>
      </c>
      <c r="J5" s="66" t="s">
        <v>13</v>
      </c>
      <c r="L5" s="42" t="s">
        <v>41</v>
      </c>
      <c r="M5" s="46">
        <f>H6</f>
        <v>20931</v>
      </c>
      <c r="N5" s="83">
        <f>I6</f>
        <v>244.3941999904448</v>
      </c>
      <c r="O5" s="48">
        <f>M5*N5</f>
        <v>5115415</v>
      </c>
    </row>
    <row r="6" spans="1:15" ht="14.1" customHeight="1" thickBot="1" x14ac:dyDescent="0.25">
      <c r="A6" s="81">
        <v>8</v>
      </c>
      <c r="B6" s="3" t="s">
        <v>4</v>
      </c>
      <c r="C6" s="78">
        <v>0</v>
      </c>
      <c r="D6" s="12" t="s">
        <v>23</v>
      </c>
      <c r="E6" s="60">
        <v>0</v>
      </c>
      <c r="F6" s="84"/>
      <c r="H6" s="67">
        <v>20931</v>
      </c>
      <c r="I6" s="68">
        <f>J6/H6</f>
        <v>244.3941999904448</v>
      </c>
      <c r="J6" s="69">
        <v>5115415</v>
      </c>
      <c r="L6" s="42" t="s">
        <v>42</v>
      </c>
      <c r="M6" s="46">
        <f>C5</f>
        <v>400</v>
      </c>
      <c r="N6" s="19">
        <v>31</v>
      </c>
      <c r="O6" s="48">
        <f t="shared" ref="O6:O24" si="0">M6*N6</f>
        <v>12400</v>
      </c>
    </row>
    <row r="7" spans="1:15" ht="14.1" customHeight="1" thickTop="1" x14ac:dyDescent="0.2">
      <c r="A7" s="81" t="s">
        <v>5</v>
      </c>
      <c r="B7" s="3" t="s">
        <v>31</v>
      </c>
      <c r="C7" s="78">
        <v>2400</v>
      </c>
      <c r="D7" s="85" t="s">
        <v>73</v>
      </c>
      <c r="E7" s="86">
        <f>E23*0.16</f>
        <v>1000</v>
      </c>
      <c r="F7" s="125" t="s">
        <v>67</v>
      </c>
      <c r="G7" s="126"/>
      <c r="L7" s="42" t="s">
        <v>4</v>
      </c>
      <c r="M7" s="46">
        <f>C6</f>
        <v>0</v>
      </c>
      <c r="N7" s="19">
        <v>75</v>
      </c>
      <c r="O7" s="48">
        <f t="shared" si="0"/>
        <v>0</v>
      </c>
    </row>
    <row r="8" spans="1:15" ht="14.1" customHeight="1" x14ac:dyDescent="0.2">
      <c r="A8" s="81" t="s">
        <v>2</v>
      </c>
      <c r="B8" s="3" t="s">
        <v>33</v>
      </c>
      <c r="C8" s="78">
        <v>600</v>
      </c>
      <c r="D8" s="85" t="s">
        <v>72</v>
      </c>
      <c r="E8" s="86">
        <f>E23*0.195</f>
        <v>1218.75</v>
      </c>
      <c r="F8" s="125"/>
      <c r="G8" s="126"/>
      <c r="H8" s="13"/>
      <c r="I8" s="14" t="s">
        <v>21</v>
      </c>
      <c r="J8" s="15">
        <f>E2</f>
        <v>45567</v>
      </c>
      <c r="L8" s="42" t="s">
        <v>43</v>
      </c>
      <c r="M8" s="46">
        <f>E6</f>
        <v>0</v>
      </c>
      <c r="N8" s="19">
        <v>80</v>
      </c>
      <c r="O8" s="48">
        <f t="shared" si="0"/>
        <v>0</v>
      </c>
    </row>
    <row r="9" spans="1:15" ht="14.1" customHeight="1" x14ac:dyDescent="0.2">
      <c r="B9" s="3" t="s">
        <v>32</v>
      </c>
      <c r="C9" s="78">
        <v>0</v>
      </c>
      <c r="D9" s="85" t="s">
        <v>71</v>
      </c>
      <c r="E9" s="86">
        <f>E23*0.335</f>
        <v>2093.75</v>
      </c>
      <c r="F9" s="125"/>
      <c r="G9" s="126"/>
      <c r="L9" s="42" t="s">
        <v>44</v>
      </c>
      <c r="M9" s="46">
        <f>C10</f>
        <v>0</v>
      </c>
      <c r="N9" s="19">
        <v>126</v>
      </c>
      <c r="O9" s="48">
        <f t="shared" si="0"/>
        <v>0</v>
      </c>
    </row>
    <row r="10" spans="1:15" ht="14.1" customHeight="1" x14ac:dyDescent="0.2">
      <c r="B10" s="105"/>
      <c r="C10" s="106">
        <v>0</v>
      </c>
      <c r="D10" s="85" t="s">
        <v>70</v>
      </c>
      <c r="E10" s="86">
        <f>E23*0.31</f>
        <v>1937.5</v>
      </c>
      <c r="F10" s="125"/>
      <c r="G10" s="126"/>
      <c r="I10" s="4" t="s">
        <v>19</v>
      </c>
      <c r="J10" s="4" t="s">
        <v>20</v>
      </c>
      <c r="L10" s="42" t="s">
        <v>45</v>
      </c>
      <c r="M10" s="46">
        <f>C11</f>
        <v>0</v>
      </c>
      <c r="N10" s="19">
        <v>170</v>
      </c>
      <c r="O10" s="48">
        <f t="shared" si="0"/>
        <v>0</v>
      </c>
    </row>
    <row r="11" spans="1:15" ht="14.1" customHeight="1" x14ac:dyDescent="0.2">
      <c r="B11" s="105"/>
      <c r="C11" s="106">
        <v>0</v>
      </c>
      <c r="D11" s="85" t="s">
        <v>58</v>
      </c>
      <c r="E11" s="79">
        <v>50</v>
      </c>
      <c r="F11" s="87"/>
      <c r="I11" s="8" t="str">
        <f>IF(D17&lt;282.3,"&lt;-OK","BAD!")</f>
        <v>&lt;-OK</v>
      </c>
      <c r="J11" s="8" t="str">
        <f>IF(D17&lt;280.8,"&lt;-OK","BAD!")</f>
        <v>&lt;-OK</v>
      </c>
      <c r="L11" s="42" t="s">
        <v>46</v>
      </c>
      <c r="M11" s="46">
        <f>E13</f>
        <v>0</v>
      </c>
      <c r="N11" s="19">
        <v>105</v>
      </c>
      <c r="O11" s="48">
        <f t="shared" si="0"/>
        <v>0</v>
      </c>
    </row>
    <row r="12" spans="1:15" ht="14.1" customHeight="1" x14ac:dyDescent="0.2">
      <c r="A12" s="80" t="s">
        <v>65</v>
      </c>
      <c r="B12" s="3" t="s">
        <v>7</v>
      </c>
      <c r="C12" s="78">
        <v>0</v>
      </c>
      <c r="D12" s="88" t="s">
        <v>64</v>
      </c>
      <c r="E12" s="58">
        <v>0</v>
      </c>
      <c r="F12" s="87"/>
      <c r="L12" s="32" t="s">
        <v>74</v>
      </c>
      <c r="M12" s="46">
        <f>E7</f>
        <v>1000</v>
      </c>
      <c r="N12" s="19">
        <v>140.30000000000001</v>
      </c>
      <c r="O12" s="48">
        <f t="shared" si="0"/>
        <v>140300</v>
      </c>
    </row>
    <row r="13" spans="1:15" ht="14.1" customHeight="1" x14ac:dyDescent="0.2">
      <c r="A13" s="80" t="s">
        <v>66</v>
      </c>
      <c r="B13" s="102" t="s">
        <v>30</v>
      </c>
      <c r="C13" s="78">
        <v>132</v>
      </c>
      <c r="D13" s="89" t="s">
        <v>57</v>
      </c>
      <c r="E13" s="58">
        <v>0</v>
      </c>
      <c r="F13" s="84"/>
      <c r="I13" s="127" t="s">
        <v>88</v>
      </c>
      <c r="J13" s="127"/>
      <c r="L13" s="32" t="s">
        <v>75</v>
      </c>
      <c r="M13" s="46">
        <f>6+E8</f>
        <v>1224.75</v>
      </c>
      <c r="N13" s="19">
        <v>235.3</v>
      </c>
      <c r="O13" s="48">
        <f t="shared" si="0"/>
        <v>288183.67499999999</v>
      </c>
    </row>
    <row r="14" spans="1:15" ht="14.1" customHeight="1" thickBot="1" x14ac:dyDescent="0.25">
      <c r="B14" s="102" t="s">
        <v>87</v>
      </c>
      <c r="C14" s="78">
        <v>22</v>
      </c>
      <c r="D14" s="3" t="s">
        <v>24</v>
      </c>
      <c r="E14" s="59">
        <v>115</v>
      </c>
      <c r="F14" s="90"/>
      <c r="L14" s="32" t="s">
        <v>76</v>
      </c>
      <c r="M14" s="46">
        <f>6+E9</f>
        <v>2099.75</v>
      </c>
      <c r="N14" s="19">
        <v>352</v>
      </c>
      <c r="O14" s="48">
        <f t="shared" si="0"/>
        <v>739112</v>
      </c>
    </row>
    <row r="15" spans="1:15" ht="14.1" customHeight="1" thickTop="1" x14ac:dyDescent="0.2">
      <c r="B15" s="20" t="s">
        <v>8</v>
      </c>
      <c r="C15" s="21">
        <f>SUM(E6:E10)</f>
        <v>6250</v>
      </c>
      <c r="D15" s="108" t="s">
        <v>81</v>
      </c>
      <c r="E15" s="21">
        <f>31000-E16</f>
        <v>104</v>
      </c>
      <c r="F15" s="91"/>
      <c r="H15" s="111" t="s">
        <v>82</v>
      </c>
      <c r="I15" s="112"/>
      <c r="J15" s="113"/>
      <c r="L15" s="32" t="s">
        <v>77</v>
      </c>
      <c r="M15" s="46">
        <f>6+E10</f>
        <v>1943.5</v>
      </c>
      <c r="N15" s="19">
        <v>496</v>
      </c>
      <c r="O15" s="48">
        <f t="shared" si="0"/>
        <v>963976</v>
      </c>
    </row>
    <row r="16" spans="1:15" ht="14.1" customHeight="1" x14ac:dyDescent="0.2">
      <c r="B16" s="122" t="s">
        <v>78</v>
      </c>
      <c r="C16" s="123"/>
      <c r="D16" s="107" t="s">
        <v>80</v>
      </c>
      <c r="E16" s="21">
        <f>SUM(C4:C13)+SUM(E6:E14)</f>
        <v>30896</v>
      </c>
      <c r="F16" s="91"/>
      <c r="H16" s="114" t="s">
        <v>83</v>
      </c>
      <c r="I16" s="115"/>
      <c r="J16" s="116"/>
      <c r="L16" s="42" t="s">
        <v>47</v>
      </c>
      <c r="M16" s="46">
        <f>E11</f>
        <v>50</v>
      </c>
      <c r="N16" s="19">
        <v>600</v>
      </c>
      <c r="O16" s="48">
        <f t="shared" si="0"/>
        <v>30000</v>
      </c>
    </row>
    <row r="17" spans="2:15" x14ac:dyDescent="0.2">
      <c r="B17" s="24" t="s">
        <v>9</v>
      </c>
      <c r="C17" s="22" t="s">
        <v>10</v>
      </c>
      <c r="D17" s="23">
        <f>N26</f>
        <v>264.47192828080597</v>
      </c>
      <c r="E17" s="136" t="str">
        <f>IF(D17&gt;244.6,I11,"&lt;-BAD!")</f>
        <v>&lt;-OK</v>
      </c>
      <c r="F17" s="92"/>
      <c r="H17" s="114" t="s">
        <v>84</v>
      </c>
      <c r="I17" s="115"/>
      <c r="J17" s="116"/>
      <c r="L17" s="42" t="s">
        <v>48</v>
      </c>
      <c r="M17" s="46">
        <f>C7</f>
        <v>2400</v>
      </c>
      <c r="N17" s="19">
        <v>240.5</v>
      </c>
      <c r="O17" s="48">
        <f t="shared" si="0"/>
        <v>577200</v>
      </c>
    </row>
    <row r="18" spans="2:15" ht="13.5" thickBot="1" x14ac:dyDescent="0.25">
      <c r="B18" s="25" t="s">
        <v>14</v>
      </c>
      <c r="C18" s="26" t="s">
        <v>15</v>
      </c>
      <c r="D18" s="27">
        <f>N27</f>
        <v>263.53547775122706</v>
      </c>
      <c r="E18" s="28" t="str">
        <f>IF(D18&gt;240.4,J11,"&lt;-BAD!")</f>
        <v>&lt;-OK</v>
      </c>
      <c r="F18" s="92"/>
      <c r="H18" s="117" t="s">
        <v>85</v>
      </c>
      <c r="I18" s="118"/>
      <c r="J18" s="119"/>
      <c r="L18" s="42" t="s">
        <v>6</v>
      </c>
      <c r="M18" s="46">
        <f>C8</f>
        <v>600</v>
      </c>
      <c r="N18" s="19">
        <v>275.89999999999998</v>
      </c>
      <c r="O18" s="48">
        <f t="shared" si="0"/>
        <v>165540</v>
      </c>
    </row>
    <row r="19" spans="2:15" ht="13.5" thickTop="1" x14ac:dyDescent="0.2">
      <c r="B19" s="5" t="s">
        <v>16</v>
      </c>
      <c r="C19" s="30">
        <v>315</v>
      </c>
      <c r="D19" s="6" t="s">
        <v>90</v>
      </c>
      <c r="E19" s="7">
        <f>(((C19/C21)+0.1)*C20)+E21</f>
        <v>297.90625</v>
      </c>
      <c r="F19" s="93"/>
      <c r="L19" s="42" t="s">
        <v>32</v>
      </c>
      <c r="M19" s="46">
        <f>C9</f>
        <v>0</v>
      </c>
      <c r="N19" s="19">
        <v>272.10000000000002</v>
      </c>
      <c r="O19" s="48">
        <f t="shared" si="0"/>
        <v>0</v>
      </c>
    </row>
    <row r="20" spans="2:15" ht="13.5" customHeight="1" x14ac:dyDescent="0.2">
      <c r="B20" s="6" t="s">
        <v>25</v>
      </c>
      <c r="C20" s="31">
        <v>115</v>
      </c>
      <c r="D20" s="6" t="s">
        <v>91</v>
      </c>
      <c r="E20" s="7">
        <f>75+E19+E19</f>
        <v>670.8125</v>
      </c>
      <c r="F20" s="93"/>
      <c r="I20" s="47"/>
      <c r="L20" s="42" t="s">
        <v>49</v>
      </c>
      <c r="M20" s="46">
        <f>C12</f>
        <v>0</v>
      </c>
      <c r="N20" s="19">
        <v>185</v>
      </c>
      <c r="O20" s="48">
        <f t="shared" si="0"/>
        <v>0</v>
      </c>
    </row>
    <row r="21" spans="2:15" ht="13.5" thickBot="1" x14ac:dyDescent="0.25">
      <c r="B21" s="6" t="s">
        <v>17</v>
      </c>
      <c r="C21" s="31">
        <v>160</v>
      </c>
      <c r="D21" s="129" t="s">
        <v>89</v>
      </c>
      <c r="E21" s="130">
        <v>60</v>
      </c>
      <c r="F21" s="94"/>
      <c r="L21" s="42" t="s">
        <v>50</v>
      </c>
      <c r="M21" s="46">
        <f>C13</f>
        <v>132</v>
      </c>
      <c r="N21" s="19">
        <v>420</v>
      </c>
      <c r="O21" s="48">
        <f t="shared" si="0"/>
        <v>55440</v>
      </c>
    </row>
    <row r="22" spans="2:15" ht="14.25" customHeight="1" thickBot="1" x14ac:dyDescent="0.25">
      <c r="D22" s="132" t="str">
        <f>+IF(E16&gt;31000,I13," ")</f>
        <v xml:space="preserve"> </v>
      </c>
      <c r="E22" s="133"/>
      <c r="L22" s="42" t="s">
        <v>51</v>
      </c>
      <c r="M22" s="46">
        <f>C14</f>
        <v>22</v>
      </c>
      <c r="N22" s="19">
        <v>80</v>
      </c>
      <c r="O22" s="48">
        <f t="shared" si="0"/>
        <v>1760</v>
      </c>
    </row>
    <row r="23" spans="2:15" ht="13.5" thickBot="1" x14ac:dyDescent="0.25">
      <c r="B23" s="124" t="s">
        <v>27</v>
      </c>
      <c r="C23" s="124"/>
      <c r="D23" s="124"/>
      <c r="E23" s="131">
        <v>6250</v>
      </c>
      <c r="F23" s="96"/>
      <c r="L23" s="42" t="s">
        <v>52</v>
      </c>
      <c r="M23" s="46">
        <f>E14</f>
        <v>115</v>
      </c>
      <c r="N23" s="19">
        <v>616</v>
      </c>
      <c r="O23" s="48">
        <f t="shared" si="0"/>
        <v>70840</v>
      </c>
    </row>
    <row r="24" spans="2:15" x14ac:dyDescent="0.2">
      <c r="B24" s="71" t="s">
        <v>63</v>
      </c>
      <c r="L24" s="42" t="s">
        <v>53</v>
      </c>
      <c r="M24" s="46">
        <f>E11</f>
        <v>50</v>
      </c>
      <c r="N24" s="19">
        <v>600</v>
      </c>
      <c r="O24" s="48">
        <f t="shared" si="0"/>
        <v>30000</v>
      </c>
    </row>
    <row r="25" spans="2:15" ht="13.5" thickBot="1" x14ac:dyDescent="0.25">
      <c r="B25" s="71" t="s">
        <v>79</v>
      </c>
      <c r="I25" s="47"/>
      <c r="L25" s="43" t="s">
        <v>54</v>
      </c>
      <c r="M25" s="74">
        <f>SUM(M5:M24)</f>
        <v>30968</v>
      </c>
      <c r="N25" s="97"/>
      <c r="O25" s="76">
        <f>SUM(O5:O24)</f>
        <v>8190166.6749999998</v>
      </c>
    </row>
    <row r="26" spans="2:15" ht="14.25" thickTop="1" thickBot="1" x14ac:dyDescent="0.25">
      <c r="G26" s="9"/>
      <c r="H26" s="10"/>
      <c r="M26" s="98" t="s">
        <v>61</v>
      </c>
      <c r="N26" s="99">
        <f>O25/M25</f>
        <v>264.47192828080597</v>
      </c>
      <c r="O26" s="100"/>
    </row>
    <row r="27" spans="2:15" ht="13.5" thickBot="1" x14ac:dyDescent="0.25">
      <c r="B27" s="39" t="s">
        <v>35</v>
      </c>
      <c r="C27" s="95">
        <f>C7+C8+C9</f>
        <v>3000</v>
      </c>
      <c r="D27" s="32" t="s">
        <v>28</v>
      </c>
      <c r="E27" s="33">
        <f>SUM(C7:C9)/6</f>
        <v>500</v>
      </c>
      <c r="G27" s="9"/>
      <c r="H27" s="11"/>
      <c r="M27" s="56" t="s">
        <v>60</v>
      </c>
      <c r="N27" s="63">
        <f>(O25-29000)/M25</f>
        <v>263.53547775122706</v>
      </c>
      <c r="O27" s="47"/>
    </row>
    <row r="28" spans="2:15" x14ac:dyDescent="0.2">
      <c r="B28" s="40" t="s">
        <v>36</v>
      </c>
      <c r="C28" s="34"/>
      <c r="G28" s="9"/>
      <c r="H28" s="11"/>
      <c r="M28" s="44"/>
      <c r="N28" s="49"/>
      <c r="O28" s="47"/>
    </row>
    <row r="29" spans="2:15" x14ac:dyDescent="0.2">
      <c r="B29" s="40" t="s">
        <v>37</v>
      </c>
      <c r="C29" s="101" t="s">
        <v>59</v>
      </c>
      <c r="D29" s="52"/>
      <c r="E29" s="53"/>
      <c r="G29" s="9"/>
      <c r="H29" s="11"/>
    </row>
    <row r="30" spans="2:15" x14ac:dyDescent="0.2">
      <c r="B30" s="41" t="s">
        <v>38</v>
      </c>
      <c r="C30" s="71" t="s">
        <v>68</v>
      </c>
      <c r="D30" s="71" t="s">
        <v>69</v>
      </c>
      <c r="G30" s="9"/>
      <c r="H30" s="11"/>
      <c r="I30" s="29"/>
    </row>
    <row r="31" spans="2:15" x14ac:dyDescent="0.2">
      <c r="G31" s="9"/>
      <c r="H31" s="11"/>
      <c r="I31" s="29"/>
    </row>
    <row r="32" spans="2:15" x14ac:dyDescent="0.2">
      <c r="G32" s="9"/>
      <c r="H32" s="11"/>
      <c r="I32" s="29"/>
    </row>
    <row r="33" spans="9:9" x14ac:dyDescent="0.2">
      <c r="I33" s="29"/>
    </row>
    <row r="34" spans="9:9" x14ac:dyDescent="0.2">
      <c r="I34" s="29"/>
    </row>
  </sheetData>
  <sheetProtection sheet="1" objects="1" scenarios="1"/>
  <mergeCells count="3">
    <mergeCell ref="B23:D23"/>
    <mergeCell ref="F7:G10"/>
    <mergeCell ref="B16:C16"/>
  </mergeCells>
  <printOptions horizontalCentered="1" verticalCentered="1"/>
  <pageMargins left="0.75" right="0.75" top="1" bottom="1" header="0.5" footer="0.5"/>
  <pageSetup orientation="portrait" horizontalDpi="4294967293" verticalDpi="4294967293" r:id="rId1"/>
  <headerFooter alignWithMargins="0"/>
  <ignoredErrors>
    <ignoredError sqref="F11 C5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N28TN 2024</vt:lpstr>
      <vt:lpstr>N28TN Ave Loading</vt:lpstr>
      <vt:lpstr>'N28TN 2024'!Print_Area</vt:lpstr>
      <vt:lpstr>'N28TN Ave Loading'!Print_Area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Larson</dc:creator>
  <cp:lastModifiedBy>alan transnorthern.com</cp:lastModifiedBy>
  <cp:lastPrinted>2020-09-01T13:39:37Z</cp:lastPrinted>
  <dcterms:created xsi:type="dcterms:W3CDTF">2007-07-07T21:46:24Z</dcterms:created>
  <dcterms:modified xsi:type="dcterms:W3CDTF">2024-11-22T03:41:25Z</dcterms:modified>
</cp:coreProperties>
</file>